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8" yWindow="-108" windowWidth="23256" windowHeight="12456" tabRatio="914"/>
  </bookViews>
  <sheets>
    <sheet name="Planilha Orçamentária" sheetId="187" r:id="rId1"/>
    <sheet name="Memória de Cálculo" sheetId="188" r:id="rId2"/>
    <sheet name="BDI Geral" sheetId="185" r:id="rId3"/>
    <sheet name="BDI Diferenciado" sheetId="192" r:id="rId4"/>
    <sheet name="Composições Unitárias" sheetId="189" r:id="rId5"/>
    <sheet name="Cronograma F.F." sheetId="190" r:id="rId6"/>
    <sheet name="Ferros" sheetId="191" r:id="rId7"/>
  </sheets>
  <definedNames>
    <definedName name="_Fill" localSheetId="3" hidden="1">#REF!</definedName>
    <definedName name="_Fill" localSheetId="2" hidden="1">#REF!</definedName>
    <definedName name="_Fill" localSheetId="5" hidden="1">#REF!</definedName>
    <definedName name="_Fill" hidden="1">#REF!</definedName>
    <definedName name="_Key1" localSheetId="3" hidden="1">#REF!</definedName>
    <definedName name="_Key1" localSheetId="2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localSheetId="5" hidden="1">#REF!</definedName>
    <definedName name="_Sort" hidden="1">#REF!</definedName>
    <definedName name="a" localSheetId="3" hidden="1">#REF!</definedName>
    <definedName name="a" localSheetId="2" hidden="1">#REF!</definedName>
    <definedName name="a" localSheetId="5" hidden="1">#REF!</definedName>
    <definedName name="a" hidden="1">#REF!</definedName>
    <definedName name="ACRE" localSheetId="3" hidden="1">#REF!</definedName>
    <definedName name="ACRE" localSheetId="2" hidden="1">#REF!</definedName>
    <definedName name="ACRE" localSheetId="5" hidden="1">#REF!</definedName>
    <definedName name="ACRE" hidden="1">#REF!</definedName>
    <definedName name="ademir" hidden="1">{#N/A,#N/A,FALSE,"Cronograma";#N/A,#N/A,FALSE,"Cronogr. 2"}</definedName>
    <definedName name="_xlnm.Print_Area" localSheetId="3">'BDI Diferenciado'!$A$1:$D$31</definedName>
    <definedName name="_xlnm.Print_Area" localSheetId="2">'BDI Geral'!$A$1:$D$31</definedName>
    <definedName name="_xlnm.Print_Area" localSheetId="4">'Composições Unitárias'!$A$1:$H$45</definedName>
    <definedName name="_xlnm.Print_Area" localSheetId="5">'Cronograma F.F.'!$A$1:$K$33</definedName>
    <definedName name="_xlnm.Print_Area" localSheetId="1">'Memória de Cálculo'!$A$1:$I$112</definedName>
    <definedName name="_xlnm.Print_Area" localSheetId="0">'Planilha Orçamentária'!$A$1:$J$43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3" hidden="1">#REF!</definedName>
    <definedName name="SINAPI_AC" localSheetId="2" hidden="1">#REF!</definedName>
    <definedName name="SINAPI_AC" localSheetId="5" hidden="1">#REF!</definedName>
    <definedName name="SINAPI_AC" hidden="1">#REF!</definedName>
    <definedName name="ss" hidden="1">{#N/A,#N/A,FALSE,"Cronograma";#N/A,#N/A,FALSE,"Cronogr. 2"}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87"/>
  <c r="G81" i="188"/>
  <c r="I81" s="1"/>
  <c r="G79"/>
  <c r="G88"/>
  <c r="I88" s="1"/>
  <c r="G80"/>
  <c r="G78"/>
  <c r="I78" s="1"/>
  <c r="G86"/>
  <c r="H85"/>
  <c r="H77"/>
  <c r="I94"/>
  <c r="I93"/>
  <c r="I92"/>
  <c r="I90"/>
  <c r="I89"/>
  <c r="I87"/>
  <c r="I86"/>
  <c r="I85"/>
  <c r="I84"/>
  <c r="I80"/>
  <c r="I79"/>
  <c r="I77"/>
  <c r="I76"/>
  <c r="G46"/>
  <c r="I46" s="1"/>
  <c r="G44"/>
  <c r="I44" s="1"/>
  <c r="G45"/>
  <c r="I45" s="1"/>
  <c r="G43"/>
  <c r="I43" s="1"/>
  <c r="G42"/>
  <c r="G37"/>
  <c r="I37" s="1"/>
  <c r="G35"/>
  <c r="I35" s="1"/>
  <c r="I38"/>
  <c r="H42"/>
  <c r="I42" s="1"/>
  <c r="H34"/>
  <c r="I34" s="1"/>
  <c r="I29"/>
  <c r="I28"/>
  <c r="I27"/>
  <c r="I26"/>
  <c r="H25"/>
  <c r="I25" s="1"/>
  <c r="M41"/>
  <c r="M42" s="1"/>
  <c r="K41"/>
  <c r="K42" s="1"/>
  <c r="I36"/>
  <c r="M33"/>
  <c r="M34" s="1"/>
  <c r="K33"/>
  <c r="K34" s="1"/>
  <c r="I72"/>
  <c r="I71"/>
  <c r="I70"/>
  <c r="I69"/>
  <c r="I68"/>
  <c r="I66"/>
  <c r="I65"/>
  <c r="I64"/>
  <c r="I63"/>
  <c r="I62"/>
  <c r="H61"/>
  <c r="I61" s="1"/>
  <c r="I60"/>
  <c r="I57"/>
  <c r="I56"/>
  <c r="I55"/>
  <c r="H53"/>
  <c r="I53" s="1"/>
  <c r="I52"/>
  <c r="I54"/>
  <c r="D108"/>
  <c r="F10" i="187"/>
  <c r="H21" s="1"/>
  <c r="C19" i="192"/>
  <c r="C25" s="1"/>
  <c r="I16" i="188"/>
  <c r="K109"/>
  <c r="K110" s="1"/>
  <c r="O104"/>
  <c r="P104" s="1"/>
  <c r="P105" s="1"/>
  <c r="L105"/>
  <c r="M105" s="1"/>
  <c r="I40" l="1"/>
  <c r="F22" i="187" s="1"/>
  <c r="I32" i="188"/>
  <c r="F21" i="187" s="1"/>
  <c r="L21" s="1"/>
  <c r="I49" i="188"/>
  <c r="F25" i="187" s="1"/>
  <c r="L25" s="1"/>
  <c r="H22"/>
  <c r="O105" i="188"/>
  <c r="F51" i="187"/>
  <c r="D48"/>
  <c r="J11" i="191"/>
  <c r="K11" s="1"/>
  <c r="J10"/>
  <c r="K10" s="1"/>
  <c r="O106" i="188"/>
  <c r="L106"/>
  <c r="M106" s="1"/>
  <c r="I106"/>
  <c r="F35" i="187" s="1"/>
  <c r="L107" i="188"/>
  <c r="M107" s="1"/>
  <c r="O107"/>
  <c r="O108" s="1"/>
  <c r="O110" s="1"/>
  <c r="J103"/>
  <c r="I103"/>
  <c r="F32" i="187" s="1"/>
  <c r="J104" i="188" l="1"/>
  <c r="L104"/>
  <c r="M104"/>
  <c r="K104"/>
  <c r="K24" l="1"/>
  <c r="M24"/>
  <c r="M101" l="1"/>
  <c r="K101"/>
  <c r="I105" l="1"/>
  <c r="F34" i="187" s="1"/>
  <c r="I100" i="188"/>
  <c r="I21"/>
  <c r="I108"/>
  <c r="F37" i="187" s="1"/>
  <c r="I107" i="188"/>
  <c r="F36" i="187" s="1"/>
  <c r="I104" i="188"/>
  <c r="F33" i="187" s="1"/>
  <c r="I15" i="188"/>
  <c r="M38" i="189"/>
  <c r="L38"/>
  <c r="L39" s="1"/>
  <c r="H21"/>
  <c r="H20"/>
  <c r="H19"/>
  <c r="I98" i="188" l="1"/>
  <c r="F29" i="187"/>
  <c r="I73" i="188"/>
  <c r="I23"/>
  <c r="F20" i="187" s="1"/>
  <c r="I19" i="188"/>
  <c r="F19" i="187" s="1"/>
  <c r="L4"/>
  <c r="L7"/>
  <c r="L6" s="1"/>
  <c r="L5" s="1"/>
  <c r="L9"/>
  <c r="L10"/>
  <c r="F16" l="1"/>
  <c r="I111" i="188"/>
  <c r="F40" i="187" s="1"/>
  <c r="H40" i="189"/>
  <c r="H39"/>
  <c r="H38"/>
  <c r="H35"/>
  <c r="H36" s="1"/>
  <c r="H41" l="1"/>
  <c r="H42" s="1"/>
  <c r="G40" i="187" s="1"/>
  <c r="H43" i="189" l="1"/>
  <c r="H24" l="1"/>
  <c r="H18"/>
  <c r="H22" s="1"/>
  <c r="H25" l="1"/>
  <c r="H26" s="1"/>
  <c r="H27" l="1"/>
  <c r="F15" i="187"/>
  <c r="F45" l="1"/>
  <c r="C19" i="185" l="1"/>
  <c r="C25" s="1"/>
  <c r="D11" i="189" l="1"/>
  <c r="E10" i="187"/>
  <c r="K3" i="189"/>
  <c r="I21" i="187" l="1"/>
  <c r="I22"/>
  <c r="H35"/>
  <c r="I35" s="1"/>
  <c r="H26"/>
  <c r="I26" s="1"/>
  <c r="H37"/>
  <c r="I37" s="1"/>
  <c r="H36"/>
  <c r="I36" s="1"/>
  <c r="H20"/>
  <c r="I20" s="1"/>
  <c r="H40"/>
  <c r="I40" s="1"/>
  <c r="H29"/>
  <c r="I29" s="1"/>
  <c r="H34"/>
  <c r="I34" s="1"/>
  <c r="H19"/>
  <c r="I19" s="1"/>
  <c r="H33"/>
  <c r="I33" s="1"/>
  <c r="H32"/>
  <c r="I32" s="1"/>
  <c r="H25"/>
  <c r="H44" i="189"/>
  <c r="H45" s="1"/>
  <c r="H15" i="187"/>
  <c r="I15" s="1"/>
  <c r="H28" i="189"/>
  <c r="H29" s="1"/>
  <c r="G16" i="187" s="1"/>
  <c r="I18" l="1"/>
  <c r="C19" i="190" s="1"/>
  <c r="I20" s="1"/>
  <c r="I31" i="187"/>
  <c r="I28"/>
  <c r="C23" i="190" s="1"/>
  <c r="I39" i="187"/>
  <c r="I25"/>
  <c r="H16"/>
  <c r="I16" s="1"/>
  <c r="I14" s="1"/>
  <c r="C17" i="190" s="1"/>
  <c r="J24" l="1"/>
  <c r="K24"/>
  <c r="I24"/>
  <c r="C27"/>
  <c r="F24"/>
  <c r="C25"/>
  <c r="I24" i="187"/>
  <c r="C21" i="190" s="1"/>
  <c r="G24"/>
  <c r="H24"/>
  <c r="I22" l="1"/>
  <c r="J22"/>
  <c r="K22"/>
  <c r="F28"/>
  <c r="I28"/>
  <c r="J28"/>
  <c r="K28"/>
  <c r="K26"/>
  <c r="I26"/>
  <c r="I30" s="1"/>
  <c r="I31" s="1"/>
  <c r="J26"/>
  <c r="J30" s="1"/>
  <c r="J31" s="1"/>
  <c r="C30"/>
  <c r="K30"/>
  <c r="K31" s="1"/>
  <c r="I43" i="187"/>
  <c r="J22" s="1"/>
  <c r="H28" i="190"/>
  <c r="G28"/>
  <c r="H26"/>
  <c r="F22"/>
  <c r="H22"/>
  <c r="G22"/>
  <c r="F26"/>
  <c r="G26"/>
  <c r="E18"/>
  <c r="F20"/>
  <c r="E20"/>
  <c r="E30" l="1"/>
  <c r="E31" s="1"/>
  <c r="E32" s="1"/>
  <c r="H30"/>
  <c r="H31" s="1"/>
  <c r="G30"/>
  <c r="F30"/>
  <c r="J35" i="187"/>
  <c r="J21"/>
  <c r="G31" i="190"/>
  <c r="J39" i="187"/>
  <c r="F46"/>
  <c r="J36"/>
  <c r="J15"/>
  <c r="H49"/>
  <c r="J37"/>
  <c r="J24"/>
  <c r="J19"/>
  <c r="J18"/>
  <c r="J26"/>
  <c r="J14"/>
  <c r="J32"/>
  <c r="J20"/>
  <c r="J33"/>
  <c r="J40"/>
  <c r="J34"/>
  <c r="G10"/>
  <c r="J16"/>
  <c r="J31"/>
  <c r="J25"/>
  <c r="J29"/>
  <c r="J28"/>
  <c r="D27" i="190"/>
  <c r="D17"/>
  <c r="D30" s="1"/>
  <c r="D19"/>
  <c r="D21"/>
  <c r="D25"/>
  <c r="D23"/>
  <c r="J43" i="187" l="1"/>
  <c r="H50"/>
  <c r="I50" s="1"/>
  <c r="F31" i="190"/>
  <c r="F32" s="1"/>
  <c r="G32" s="1"/>
  <c r="H32" s="1"/>
  <c r="I32" s="1"/>
  <c r="J32" s="1"/>
  <c r="K32" s="1"/>
</calcChain>
</file>

<file path=xl/sharedStrings.xml><?xml version="1.0" encoding="utf-8"?>
<sst xmlns="http://schemas.openxmlformats.org/spreadsheetml/2006/main" count="409" uniqueCount="185">
  <si>
    <t>ITEM</t>
  </si>
  <si>
    <t>m</t>
  </si>
  <si>
    <t>m²</t>
  </si>
  <si>
    <t>1.1</t>
  </si>
  <si>
    <t>1.2</t>
  </si>
  <si>
    <t>2.1</t>
  </si>
  <si>
    <t>2.2</t>
  </si>
  <si>
    <t>3.1</t>
  </si>
  <si>
    <t>3.2</t>
  </si>
  <si>
    <t>4.1</t>
  </si>
  <si>
    <t>5.1</t>
  </si>
  <si>
    <t>6.1</t>
  </si>
  <si>
    <t>m³</t>
  </si>
  <si>
    <t>1.3</t>
  </si>
  <si>
    <t>1.4</t>
  </si>
  <si>
    <t>SINAPI</t>
  </si>
  <si>
    <t>CÓDIGO</t>
  </si>
  <si>
    <t>1.5</t>
  </si>
  <si>
    <t>T</t>
  </si>
  <si>
    <t>OBRA:</t>
  </si>
  <si>
    <t>DATA:</t>
  </si>
  <si>
    <t>1.0</t>
  </si>
  <si>
    <t>Administração central</t>
  </si>
  <si>
    <t>Seguros+Garantia</t>
  </si>
  <si>
    <t>Risco</t>
  </si>
  <si>
    <t>Lucro</t>
  </si>
  <si>
    <t>Despesa Financeira</t>
  </si>
  <si>
    <t>Tributos sobre a receita</t>
  </si>
  <si>
    <t>1.5.1</t>
  </si>
  <si>
    <t>ISS (*)</t>
  </si>
  <si>
    <t>1.5.2</t>
  </si>
  <si>
    <t>COFINS</t>
  </si>
  <si>
    <t>1.5.3</t>
  </si>
  <si>
    <t>PIS</t>
  </si>
  <si>
    <t>1.5.4</t>
  </si>
  <si>
    <t>INSS (DESONERAÇÃO)</t>
  </si>
  <si>
    <t>BDI</t>
  </si>
  <si>
    <t>AC</t>
  </si>
  <si>
    <t>S+G</t>
  </si>
  <si>
    <t>R</t>
  </si>
  <si>
    <t>L</t>
  </si>
  <si>
    <t>DF</t>
  </si>
  <si>
    <t>T1</t>
  </si>
  <si>
    <t>T2</t>
  </si>
  <si>
    <t>T3</t>
  </si>
  <si>
    <t>T4</t>
  </si>
  <si>
    <t>CÁLCULO DO BDI: {[(1+AC+R+S+G)x(1+DF)x(1+L)]/(1-T)}-1</t>
  </si>
  <si>
    <t>EQUIPAMENTOS</t>
  </si>
  <si>
    <t>Unidade</t>
  </si>
  <si>
    <t>Coeficiente</t>
  </si>
  <si>
    <t>Preço</t>
  </si>
  <si>
    <t>Total</t>
  </si>
  <si>
    <t>MAO DE OBRA</t>
  </si>
  <si>
    <t>SERVENTE COM ENCARGOS COMPLEMENTARES</t>
  </si>
  <si>
    <t>Total:</t>
  </si>
  <si>
    <t>Total Simples:</t>
  </si>
  <si>
    <t>Sub Total</t>
  </si>
  <si>
    <t>COMP 01</t>
  </si>
  <si>
    <t>PREFEITURA MUNICIPAL DE AFRÂNIO</t>
  </si>
  <si>
    <t>Programa</t>
  </si>
  <si>
    <t>Empreendimento</t>
  </si>
  <si>
    <t>Agente Financeiro</t>
  </si>
  <si>
    <t>Proponente</t>
  </si>
  <si>
    <t>Localização</t>
  </si>
  <si>
    <t>Valor total</t>
  </si>
  <si>
    <t>Base de preços e serviços</t>
  </si>
  <si>
    <t>Planilha Orçamentária</t>
  </si>
  <si>
    <t>%</t>
  </si>
  <si>
    <t>REFERÊNCIA</t>
  </si>
  <si>
    <t>DISCRIMINAÇÃO DOS SERVIÇOS</t>
  </si>
  <si>
    <t>UNIDADE</t>
  </si>
  <si>
    <t>QNTD.</t>
  </si>
  <si>
    <t>PREÇO SEM BDI</t>
  </si>
  <si>
    <t>PREÇO COM BDI</t>
  </si>
  <si>
    <t>PREÇO TOTAL</t>
  </si>
  <si>
    <t>TOTAL GERAL</t>
  </si>
  <si>
    <t>Memória de Cálculo</t>
  </si>
  <si>
    <t>COMPRIMENTO (m)</t>
  </si>
  <si>
    <t>LARGURA (m)</t>
  </si>
  <si>
    <t>ALTURA/
ESPESSURA (m)</t>
  </si>
  <si>
    <t>QUANTIDADE</t>
  </si>
  <si>
    <t>Composições Unitárias</t>
  </si>
  <si>
    <t>Cronograma Físico - Financeiro</t>
  </si>
  <si>
    <t>MESES CORRIDOS</t>
  </si>
  <si>
    <t>Termo de Compromisso</t>
  </si>
  <si>
    <t>COMPOSIÇÃO</t>
  </si>
  <si>
    <t>h</t>
  </si>
  <si>
    <t>MATERIAIS</t>
  </si>
  <si>
    <t>Valor Geral:</t>
  </si>
  <si>
    <t>DESCRIÇÃO DOS SERVIÇOS</t>
  </si>
  <si>
    <t>VALOR (R$)</t>
  </si>
  <si>
    <t>% ITEM</t>
  </si>
  <si>
    <t>Valores totais</t>
  </si>
  <si>
    <t>Percentuais Mensais</t>
  </si>
  <si>
    <t>Percentuais Acumulados</t>
  </si>
  <si>
    <t>SECRETARIA MUNICIPAL DE OBRAS E INFRAESTRUTURA</t>
  </si>
  <si>
    <t>Município de Afrânio/PE</t>
  </si>
  <si>
    <t>TAXAS</t>
  </si>
  <si>
    <t>BDI (Geral)</t>
  </si>
  <si>
    <t>COMPOSIÇÃO DO BDI (Geral)</t>
  </si>
  <si>
    <t>MARÇO/2022</t>
  </si>
  <si>
    <t>COMP 02</t>
  </si>
  <si>
    <t>CHP</t>
  </si>
  <si>
    <t>Kg</t>
  </si>
  <si>
    <t>COMP 03</t>
  </si>
  <si>
    <t>Passagem Molhada sobre o Riacho do Caboclo (Riacho Salinas)</t>
  </si>
  <si>
    <t>Caixa Econômica Federal</t>
  </si>
  <si>
    <t>AUXILIAR DE TOPÓGRAFO COM ENCARGOS COMPLEMENTARES</t>
  </si>
  <si>
    <t>DESENHISTA DETALHISTA COM ENCARGOS COMPLEMENTARES</t>
  </si>
  <si>
    <t>TOPÓGRAFO COM ENCARGOS COMPLEMENTARES</t>
  </si>
  <si>
    <t>CAMINHONETE CABINE SIMPLES COM MOTOR 1.6 FLEX, CÂMBIO MANUAL, POTÊNCIA 101/104 CV, 2 PORTAS - CHP DIURNO. AF_11/2015</t>
  </si>
  <si>
    <t>Serviços topográficos para levantamento planialtimétrico</t>
  </si>
  <si>
    <t>OBRA: Passagem molhada sobre o Riacho do Caboclo (Riacho Salinas), município de Afrânio/PE</t>
  </si>
  <si>
    <t xml:space="preserve"> ESCAVAÇÃO MECANIZADA DE VALA COM PROF. ATÉ 1,5 M (MÉDIA MONTANTE E JUSANTE/UMA COMPOSIÇÃO POR TRECHO), ESCAVADEIRA (0,8 M3), LARG. DE 1,5 M A 2,5 M, EM SOLO DE 1A CATEGORIA, LOCAIS COM BAIXO NÍVEL DE INTERFERÊNCIA. AF_02/2021</t>
  </si>
  <si>
    <t>EXECUÇÃO E COMPACTAÇÃO DE ATERRO COM SOLO PREDOMINANTEMENTE ARGILOSO - EXCLUSIVE SOLO, ESCAVAÇÃO, CARGA E TRANSPORTE. AF_11/2019</t>
  </si>
  <si>
    <t>CONCRETO CICLÓPICO FCK = 15MPA, 30% PEDRA DE MÃO EM VOLUME REAL, INCLUSIVE LANÇAMENTO. AF_05/2021</t>
  </si>
  <si>
    <t>TUBO DE CONCRETO PARA REDES COLETORAS DE ÁGUAS PLUVIAIS, DIÂMETRO DE 1200 MM, JUNTA RÍGIDA, INSTALADO EM LOCAL COM BAIXO NÍVEL DE INTERFERÊNCIAS - FORNECIMENTO E ASSENTAMENTO. AF_12/2015</t>
  </si>
  <si>
    <t>CONCRETO FCK = 40MPA, TRAÇO 1:1,6:1,9 (EM MASSA SECA DE CIMENTO/ AREIA MÉDIA/ BRITA 1) - PREPARO MECÂNICO COM BETONEIRA 600 L. AF_05/2021</t>
  </si>
  <si>
    <t>APLICAÇÃO DE LONA PLÁSTICA PARA EXECUÇÃO DE PAVIMENTOS DE CONCRETO. AF_11/2017</t>
  </si>
  <si>
    <t>Balizador em tubo de PVC preenchido com concreto, pintado com tinta retrorrefletiva amarela e preta</t>
  </si>
  <si>
    <t>und</t>
  </si>
  <si>
    <t>FABRICAÇÃO, MONTAGEM E DESMONTAGEM DE FÔRMA PARA CORTINA DE CONTENÇÃO, EM CHAPA DE MADEIRA COMPENSADA PLASTIFICADA, E = 18 MM, 10 UTILIZAÇÕES. AF_07/2019</t>
  </si>
  <si>
    <t>FABRICAÇÃO, MONTAGEM E DESMONTAGEM DE FORMA PARA RADIER, PISO DE CONCRETO OU LAJE SOBRE SOLO, EM MADEIRA SERRADA, 4 UTILIZAÇÕES. AF_09/2021</t>
  </si>
  <si>
    <t>Serviços topográficos para levantamento planialtimétrico - m²</t>
  </si>
  <si>
    <t>Balizador em tubo de PVC preenchido com concreto, pintado com tinta retrorrefletiva amarela e preta - und</t>
  </si>
  <si>
    <t>TUBO PVC SERIE NORMAL, DN 50 MM, PARA ESGOTO PREDIAL (NBR 5688)</t>
  </si>
  <si>
    <t>TINTA ESMALTE BASE AGUA PREMIUM BRILHANTE</t>
  </si>
  <si>
    <t>CONCRETO FCK = 15MPA, TRAÇO 1:3,4:3,5 (EM MASSA SECA DE CIMENTO/ AREIA MÉDIA/ BRITA 1) - PREPARO MANUAL. AF_05/2021</t>
  </si>
  <si>
    <t>DESCONTOS</t>
  </si>
  <si>
    <t>ESTACA 0+0,0 a ESTACA 1+0,0</t>
  </si>
  <si>
    <t xml:space="preserve">
*Considerando alíquota total (com dedução de 40% do ISS referente aos materiais utilizados), conforme previsto no Art. 136, em seu item 7.02 da Lei Municipal nº 537 de 15 de setembro de 2017. </t>
  </si>
  <si>
    <t>SERVIÇOS PRELIMINARES</t>
  </si>
  <si>
    <t>MOVIMENTAÇÃO DE TERRA</t>
  </si>
  <si>
    <t>PASSAGEM MOLHADA</t>
  </si>
  <si>
    <t>DRENAGEM</t>
  </si>
  <si>
    <t>PAVIMENTAÇÃO</t>
  </si>
  <si>
    <t>SERVIÇOS DIVERSOS</t>
  </si>
  <si>
    <t>ARMAÇÃO PARA EXECUÇÃO DE RADIER, PISO DE CONCRETO OU LAJE SOBRE SOLO, COM USO DE TELA Q-138. AF_09/2021</t>
  </si>
  <si>
    <t>ARMAÇÃO DE ESTRUTURAS DE CONCRETO ARMADO, EXCETO VIGAS, PILARES, LAJES E FUNDAÇÕES, UTILIZANDO AÇO CA-50 DE 16,0 MM - MONTAGEM. AF_12/2015 (BARRAS DE TRANSFERÊNCIA)</t>
  </si>
  <si>
    <t>ARMAÇÃO DE ESTRUTURAS DE CONCRETO ARMADO, EXCETO VIGAS, PILARES, LAJES E FUNDAÇÕES, UTILIZANDO AÇO CA-50 DE 8,0 MM - MONTAGEM. AF_12/2015 (BALIZADORES)</t>
  </si>
  <si>
    <t>Aço</t>
  </si>
  <si>
    <t>Ø
(mm)</t>
  </si>
  <si>
    <t>Comprimento
(cm)</t>
  </si>
  <si>
    <t>CA-50</t>
  </si>
  <si>
    <t>8.0</t>
  </si>
  <si>
    <t>16.0</t>
  </si>
  <si>
    <t>CA-60</t>
  </si>
  <si>
    <t>Q-138</t>
  </si>
  <si>
    <t>55 painéis
(2,45x6,00m)</t>
  </si>
  <si>
    <t>FORNECIMENTO E INSTALAÇÃO DE PLACA DE OBRA COM CHAPA GALVANIZADA E ESTRUTURA DE MADEIRA. AF_03/2022_PS</t>
  </si>
  <si>
    <t>SINAPI 11/2023
NÃO DESONERADO</t>
  </si>
  <si>
    <t>BDI (Diferenciado)</t>
  </si>
  <si>
    <t>COMPOSIÇÃO DO BDI (Diferenciado)</t>
  </si>
  <si>
    <t>m³xKm</t>
  </si>
  <si>
    <t>ARGILA OU BARRO PARA ATERRO/REATERRO (RETIRADO NA JAZIDA, SEM TRANSPORTE)</t>
  </si>
  <si>
    <t>TRANSPORTE COM CAMINHÃO BASCULANTE DE 10 M³, EM VIA URBANA EM LEITO NATURAL (UNIDADE: M3XKM). AF_07/2020</t>
  </si>
  <si>
    <t>TUBO DE CONCRETO PARA REDES COLETORAS DE ÁGUAS PLUVIAIS, DIÂMETRO DE 1000 MM, JUNTA RÍGIDA, INSTALADO EM LOCAL COM BAIXO NÍVEL DE INTERFERÊNCIAS - FORNECIMENTO E ASSENTAMENTO. AF_12/2015</t>
  </si>
  <si>
    <t>Valor BDI:</t>
  </si>
  <si>
    <t>TRECHO CENTRAL</t>
  </si>
  <si>
    <t>MONTANTE</t>
  </si>
  <si>
    <t>TRECHO CENTRAL (TUBOS)</t>
  </si>
  <si>
    <t>CABEÇA 1 - RAMPA</t>
  </si>
  <si>
    <t>CABEÇA 1 - TRANSIÇÃO</t>
  </si>
  <si>
    <t>CABEÇA 2 - RAMPA</t>
  </si>
  <si>
    <t>CABEÇA 2 - TRANSIÇÃO</t>
  </si>
  <si>
    <t>JUSANTE</t>
  </si>
  <si>
    <t>FECHAMENTOS</t>
  </si>
  <si>
    <t>CABEÇA 1</t>
  </si>
  <si>
    <t>CABEÇA 2</t>
  </si>
  <si>
    <t>FUNDOS</t>
  </si>
  <si>
    <t>TRANSPORTE COM CAMINHÃO BASCULANTE DE 18 M³, EM VIA URBANA PAVIMENTADA, DMT ATÉ 30 KM (UNIDADE: M3XKM). AF_07/2020</t>
  </si>
  <si>
    <t>Passagem Molhada sobre o Riacho do Caboclo (Riacho do Tatu)</t>
  </si>
  <si>
    <t>1.0 SERVIÇOS PRELIMINARES</t>
  </si>
  <si>
    <t>2.0 MOVIMENTAÇÃO DE TERRA</t>
  </si>
  <si>
    <t>2.3</t>
  </si>
  <si>
    <t>2.4</t>
  </si>
  <si>
    <t>3.0 PASSAGEM MOLHADA</t>
  </si>
  <si>
    <t>4.0 DRENAGEM</t>
  </si>
  <si>
    <t>5.0 PAVIMENTAÇÃO</t>
  </si>
  <si>
    <t>5.2</t>
  </si>
  <si>
    <t>5.3</t>
  </si>
  <si>
    <t>5.4</t>
  </si>
  <si>
    <t>5.5</t>
  </si>
  <si>
    <t>5.6</t>
  </si>
  <si>
    <t>6.0 SERVIÇOS DIVERSOS</t>
  </si>
</sst>
</file>

<file path=xl/styles.xml><?xml version="1.0" encoding="utf-8"?>
<styleSheet xmlns="http://schemas.openxmlformats.org/spreadsheetml/2006/main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#,##0.0000"/>
    <numFmt numFmtId="180" formatCode="_-&quot;R$&quot;\ * #,##0.0000_-;\-&quot;R$&quot;\ * #,##0.0000_-;_-&quot;R$&quot;\ * &quot;-&quot;??_-;_-@_-"/>
    <numFmt numFmtId="181" formatCode="_(&quot;R$&quot;* #,##0.00_);_(&quot;R$&quot;* \(#,##0.00\);_(&quot;R$&quot;* &quot;-&quot;??_);_(@_)"/>
    <numFmt numFmtId="182" formatCode="_(* #,##0.00000_);_(* \(#,##0.00000\);_(* &quot;-&quot;??_);_(@_)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SansSerif"/>
      <charset val="2"/>
    </font>
    <font>
      <b/>
      <sz val="8"/>
      <color indexed="8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8"/>
      <name val="AvantGarde Bk BT"/>
    </font>
    <font>
      <b/>
      <sz val="9"/>
      <name val="AvantGarde Bk BT"/>
    </font>
    <font>
      <sz val="9"/>
      <name val="AvantGarde Bk BT"/>
    </font>
    <font>
      <sz val="11"/>
      <color theme="1"/>
      <name val="Avanta"/>
    </font>
    <font>
      <sz val="10"/>
      <name val="AvantGarde Bk BT"/>
    </font>
    <font>
      <b/>
      <sz val="10"/>
      <color theme="1"/>
      <name val="Avanta"/>
    </font>
    <font>
      <b/>
      <sz val="11"/>
      <color theme="1"/>
      <name val="Avanta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58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0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7" fillId="0" borderId="0"/>
    <xf numFmtId="0" fontId="19" fillId="0" borderId="0"/>
    <xf numFmtId="0" fontId="7" fillId="0" borderId="0"/>
    <xf numFmtId="0" fontId="1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7" fillId="0" borderId="0" applyFont="0" applyFill="0" applyBorder="0" applyAlignment="0" applyProtection="0"/>
    <xf numFmtId="165" fontId="16" fillId="0" borderId="0" applyBorder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168" fontId="7" fillId="0" borderId="0" applyFont="0" applyFill="0" applyBorder="0" applyAlignment="0" applyProtection="0"/>
    <xf numFmtId="169" fontId="22" fillId="0" borderId="0">
      <protection locked="0"/>
    </xf>
    <xf numFmtId="0" fontId="8" fillId="5" borderId="4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0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6" borderId="1" applyNumberFormat="0" applyBorder="0" applyAlignment="0" applyProtection="0"/>
    <xf numFmtId="0" fontId="7" fillId="0" borderId="0">
      <alignment horizontal="centerContinuous" vertical="justify"/>
    </xf>
    <xf numFmtId="0" fontId="26" fillId="0" borderId="0" applyAlignment="0">
      <alignment horizontal="center"/>
    </xf>
    <xf numFmtId="44" fontId="11" fillId="0" borderId="0" applyFont="0" applyFill="0" applyBorder="0" applyAlignment="0" applyProtection="0"/>
    <xf numFmtId="174" fontId="2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 vertical="center" indent="12"/>
    </xf>
    <xf numFmtId="0" fontId="13" fillId="0" borderId="4" applyBorder="0">
      <alignment horizontal="left" vertical="center" wrapText="1" indent="2"/>
      <protection locked="0"/>
    </xf>
    <xf numFmtId="0" fontId="13" fillId="0" borderId="4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" fillId="0" borderId="0"/>
    <xf numFmtId="164" fontId="3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</cellStyleXfs>
  <cellXfs count="250">
    <xf numFmtId="0" fontId="0" fillId="0" borderId="0" xfId="0"/>
    <xf numFmtId="0" fontId="6" fillId="0" borderId="1" xfId="11" applyFont="1" applyBorder="1" applyAlignment="1">
      <alignment horizontal="center" vertical="center"/>
    </xf>
    <xf numFmtId="0" fontId="6" fillId="0" borderId="1" xfId="173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73" applyBorder="1" applyAlignment="1">
      <alignment horizontal="center" vertical="center" wrapText="1"/>
    </xf>
    <xf numFmtId="0" fontId="6" fillId="0" borderId="1" xfId="173" applyBorder="1" applyAlignment="1">
      <alignment horizontal="center" vertical="center"/>
    </xf>
    <xf numFmtId="164" fontId="6" fillId="0" borderId="1" xfId="25" quotePrefix="1" applyFont="1" applyFill="1" applyBorder="1" applyAlignment="1">
      <alignment horizontal="right" vertical="center"/>
    </xf>
    <xf numFmtId="0" fontId="38" fillId="0" borderId="20" xfId="173" applyFont="1" applyBorder="1" applyAlignment="1" applyProtection="1">
      <alignment vertical="center"/>
      <protection hidden="1"/>
    </xf>
    <xf numFmtId="0" fontId="38" fillId="0" borderId="20" xfId="173" applyFont="1" applyBorder="1" applyProtection="1">
      <protection hidden="1"/>
    </xf>
    <xf numFmtId="0" fontId="37" fillId="0" borderId="20" xfId="173" applyFont="1" applyBorder="1" applyProtection="1">
      <protection hidden="1"/>
    </xf>
    <xf numFmtId="0" fontId="37" fillId="0" borderId="21" xfId="173" applyFont="1" applyBorder="1" applyProtection="1">
      <protection hidden="1"/>
    </xf>
    <xf numFmtId="0" fontId="37" fillId="0" borderId="22" xfId="173" applyFont="1" applyBorder="1" applyProtection="1">
      <protection hidden="1"/>
    </xf>
    <xf numFmtId="0" fontId="37" fillId="4" borderId="10" xfId="173" applyFont="1" applyFill="1" applyBorder="1" applyProtection="1">
      <protection hidden="1"/>
    </xf>
    <xf numFmtId="0" fontId="37" fillId="0" borderId="1" xfId="173" applyFont="1" applyBorder="1" applyProtection="1">
      <protection hidden="1"/>
    </xf>
    <xf numFmtId="10" fontId="37" fillId="10" borderId="1" xfId="173" applyNumberFormat="1" applyFont="1" applyFill="1" applyBorder="1" applyProtection="1">
      <protection hidden="1"/>
    </xf>
    <xf numFmtId="0" fontId="39" fillId="0" borderId="11" xfId="173" applyFont="1" applyBorder="1" applyAlignment="1" applyProtection="1">
      <alignment horizontal="center"/>
      <protection hidden="1"/>
    </xf>
    <xf numFmtId="0" fontId="37" fillId="0" borderId="10" xfId="173" applyFont="1" applyBorder="1" applyProtection="1">
      <protection hidden="1"/>
    </xf>
    <xf numFmtId="0" fontId="39" fillId="0" borderId="22" xfId="173" applyFont="1" applyBorder="1" applyAlignment="1" applyProtection="1">
      <alignment horizontal="center"/>
      <protection hidden="1"/>
    </xf>
    <xf numFmtId="0" fontId="39" fillId="0" borderId="21" xfId="173" applyFont="1" applyBorder="1" applyProtection="1">
      <protection hidden="1"/>
    </xf>
    <xf numFmtId="10" fontId="39" fillId="0" borderId="21" xfId="173" applyNumberFormat="1" applyFont="1" applyBorder="1" applyProtection="1">
      <protection hidden="1"/>
    </xf>
    <xf numFmtId="0" fontId="37" fillId="0" borderId="5" xfId="173" applyFont="1" applyBorder="1"/>
    <xf numFmtId="0" fontId="37" fillId="0" borderId="0" xfId="173" applyFont="1"/>
    <xf numFmtId="0" fontId="37" fillId="0" borderId="6" xfId="173" applyFont="1" applyBorder="1"/>
    <xf numFmtId="0" fontId="40" fillId="0" borderId="5" xfId="173" applyFont="1" applyBorder="1"/>
    <xf numFmtId="0" fontId="40" fillId="0" borderId="0" xfId="173" applyFont="1"/>
    <xf numFmtId="0" fontId="40" fillId="0" borderId="6" xfId="173" applyFont="1" applyBorder="1"/>
    <xf numFmtId="180" fontId="43" fillId="0" borderId="1" xfId="1955" applyNumberFormat="1" applyFont="1" applyBorder="1" applyAlignment="1" applyProtection="1">
      <alignment horizontal="right" vertical="top" wrapText="1"/>
    </xf>
    <xf numFmtId="0" fontId="0" fillId="0" borderId="1" xfId="0" applyBorder="1"/>
    <xf numFmtId="0" fontId="9" fillId="0" borderId="14" xfId="0" applyFont="1" applyBorder="1"/>
    <xf numFmtId="0" fontId="0" fillId="0" borderId="14" xfId="0" applyBorder="1"/>
    <xf numFmtId="0" fontId="9" fillId="0" borderId="6" xfId="0" applyFont="1" applyBorder="1"/>
    <xf numFmtId="0" fontId="0" fillId="0" borderId="6" xfId="0" applyBorder="1"/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0" borderId="26" xfId="1957" applyNumberFormat="1" applyFont="1" applyBorder="1" applyAlignment="1" applyProtection="1">
      <alignment vertical="center"/>
      <protection locked="0"/>
    </xf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6" borderId="27" xfId="1957" applyNumberFormat="1" applyFont="1" applyFill="1" applyBorder="1" applyAlignment="1" applyProtection="1">
      <alignment vertical="center"/>
      <protection locked="0"/>
    </xf>
    <xf numFmtId="2" fontId="13" fillId="6" borderId="28" xfId="1957" applyNumberFormat="1" applyFont="1" applyFill="1" applyBorder="1" applyAlignment="1" applyProtection="1">
      <alignment vertical="center"/>
      <protection locked="0"/>
    </xf>
    <xf numFmtId="2" fontId="13" fillId="6" borderId="29" xfId="1957" applyNumberFormat="1" applyFont="1" applyFill="1" applyBorder="1" applyAlignment="1" applyProtection="1">
      <alignment vertical="center"/>
      <protection locked="0"/>
    </xf>
    <xf numFmtId="2" fontId="13" fillId="6" borderId="30" xfId="1957" applyNumberFormat="1" applyFont="1" applyFill="1" applyBorder="1" applyAlignment="1" applyProtection="1">
      <alignment vertical="center"/>
      <protection locked="0"/>
    </xf>
    <xf numFmtId="2" fontId="13" fillId="6" borderId="31" xfId="1957" applyNumberFormat="1" applyFont="1" applyFill="1" applyBorder="1" applyAlignment="1" applyProtection="1">
      <alignment vertical="center"/>
      <protection locked="0"/>
    </xf>
    <xf numFmtId="0" fontId="0" fillId="0" borderId="5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2" xfId="0" applyBorder="1"/>
    <xf numFmtId="2" fontId="13" fillId="0" borderId="5" xfId="1957" applyNumberFormat="1" applyFont="1" applyBorder="1" applyAlignment="1" applyProtection="1">
      <alignment horizontal="left" vertical="center"/>
      <protection locked="0"/>
    </xf>
    <xf numFmtId="2" fontId="13" fillId="0" borderId="33" xfId="1957" applyNumberFormat="1" applyFont="1" applyBorder="1" applyAlignment="1" applyProtection="1">
      <alignment horizontal="left" vertical="center"/>
      <protection locked="0"/>
    </xf>
    <xf numFmtId="0" fontId="0" fillId="6" borderId="28" xfId="0" applyFill="1" applyBorder="1" applyAlignment="1" applyProtection="1">
      <alignment vertical="center"/>
      <protection locked="0"/>
    </xf>
    <xf numFmtId="2" fontId="13" fillId="0" borderId="33" xfId="1957" applyNumberFormat="1" applyFont="1" applyBorder="1" applyAlignment="1" applyProtection="1">
      <alignment vertical="center"/>
      <protection locked="0"/>
    </xf>
    <xf numFmtId="2" fontId="13" fillId="6" borderId="35" xfId="1957" applyNumberFormat="1" applyFont="1" applyFill="1" applyBorder="1" applyAlignment="1" applyProtection="1">
      <alignment vertical="center"/>
      <protection locked="0"/>
    </xf>
    <xf numFmtId="2" fontId="13" fillId="6" borderId="34" xfId="1957" applyNumberFormat="1" applyFont="1" applyFill="1" applyBorder="1" applyAlignment="1" applyProtection="1">
      <alignment vertical="center"/>
      <protection locked="0"/>
    </xf>
    <xf numFmtId="0" fontId="48" fillId="11" borderId="1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 wrapText="1"/>
    </xf>
    <xf numFmtId="164" fontId="50" fillId="0" borderId="1" xfId="25" applyFont="1" applyFill="1" applyBorder="1" applyAlignment="1">
      <alignment horizontal="left" vertical="center" wrapText="1"/>
    </xf>
    <xf numFmtId="44" fontId="50" fillId="0" borderId="1" xfId="1955" applyFont="1" applyFill="1" applyBorder="1" applyAlignment="1">
      <alignment horizontal="right" vertical="center" wrapText="1"/>
    </xf>
    <xf numFmtId="44" fontId="50" fillId="0" borderId="1" xfId="1955" applyFont="1" applyFill="1" applyBorder="1" applyAlignment="1">
      <alignment horizontal="left" vertical="center" wrapText="1"/>
    </xf>
    <xf numFmtId="0" fontId="52" fillId="0" borderId="37" xfId="0" applyFont="1" applyBorder="1" applyAlignment="1">
      <alignment horizontal="left" vertical="center" wrapText="1"/>
    </xf>
    <xf numFmtId="44" fontId="54" fillId="3" borderId="1" xfId="0" applyNumberFormat="1" applyFont="1" applyFill="1" applyBorder="1"/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9" fillId="0" borderId="13" xfId="0" applyFont="1" applyBorder="1"/>
    <xf numFmtId="0" fontId="9" fillId="0" borderId="0" xfId="0" applyFont="1"/>
    <xf numFmtId="0" fontId="35" fillId="0" borderId="0" xfId="0" applyFont="1"/>
    <xf numFmtId="0" fontId="48" fillId="11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3" fillId="0" borderId="26" xfId="1957" applyNumberFormat="1" applyFont="1" applyBorder="1" applyAlignment="1" applyProtection="1">
      <alignment vertical="center" wrapText="1"/>
      <protection locked="0"/>
    </xf>
    <xf numFmtId="2" fontId="13" fillId="6" borderId="29" xfId="1957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2" fontId="13" fillId="0" borderId="33" xfId="1957" applyNumberFormat="1" applyFont="1" applyBorder="1" applyAlignment="1" applyProtection="1">
      <alignment horizontal="left" vertical="center" wrapText="1"/>
      <protection locked="0"/>
    </xf>
    <xf numFmtId="2" fontId="13" fillId="0" borderId="0" xfId="1957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81" fontId="13" fillId="6" borderId="35" xfId="1955" applyNumberFormat="1" applyFont="1" applyFill="1" applyBorder="1" applyAlignment="1" applyProtection="1">
      <alignment vertical="center"/>
      <protection locked="0"/>
    </xf>
    <xf numFmtId="10" fontId="13" fillId="6" borderId="35" xfId="1956" applyNumberFormat="1" applyFont="1" applyFill="1" applyBorder="1" applyAlignment="1" applyProtection="1">
      <alignment vertical="center"/>
      <protection locked="0"/>
    </xf>
    <xf numFmtId="44" fontId="6" fillId="0" borderId="1" xfId="1955" quotePrefix="1" applyFont="1" applyFill="1" applyBorder="1" applyAlignment="1">
      <alignment horizontal="right" vertic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vertical="center"/>
    </xf>
    <xf numFmtId="0" fontId="0" fillId="0" borderId="36" xfId="0" applyBorder="1"/>
    <xf numFmtId="0" fontId="0" fillId="0" borderId="39" xfId="0" applyBorder="1"/>
    <xf numFmtId="10" fontId="9" fillId="0" borderId="0" xfId="0" applyNumberFormat="1" applyFont="1"/>
    <xf numFmtId="2" fontId="13" fillId="0" borderId="40" xfId="1957" applyNumberFormat="1" applyFont="1" applyBorder="1" applyAlignment="1" applyProtection="1">
      <alignment horizontal="left" vertical="center"/>
      <protection locked="0"/>
    </xf>
    <xf numFmtId="2" fontId="13" fillId="6" borderId="41" xfId="1957" applyNumberFormat="1" applyFont="1" applyFill="1" applyBorder="1" applyAlignment="1" applyProtection="1">
      <alignment vertical="center"/>
      <protection locked="0"/>
    </xf>
    <xf numFmtId="2" fontId="13" fillId="0" borderId="0" xfId="1957" applyNumberFormat="1" applyFont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0" fillId="0" borderId="40" xfId="0" applyBorder="1"/>
    <xf numFmtId="2" fontId="6" fillId="6" borderId="35" xfId="1957" applyNumberFormat="1" applyFont="1" applyFill="1" applyBorder="1" applyAlignment="1" applyProtection="1">
      <alignment vertical="center"/>
      <protection locked="0"/>
    </xf>
    <xf numFmtId="10" fontId="13" fillId="0" borderId="0" xfId="1956" applyNumberFormat="1" applyFont="1" applyFill="1" applyBorder="1" applyAlignment="1" applyProtection="1">
      <alignment vertical="center"/>
      <protection locked="0"/>
    </xf>
    <xf numFmtId="181" fontId="13" fillId="0" borderId="0" xfId="1955" applyNumberFormat="1" applyFont="1" applyFill="1" applyBorder="1" applyAlignment="1" applyProtection="1">
      <alignment vertical="center"/>
      <protection locked="0"/>
    </xf>
    <xf numFmtId="0" fontId="56" fillId="0" borderId="0" xfId="0" applyFont="1" applyAlignment="1">
      <alignment vertical="center"/>
    </xf>
    <xf numFmtId="0" fontId="43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left" vertical="top" wrapText="1"/>
    </xf>
    <xf numFmtId="0" fontId="44" fillId="3" borderId="6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top" wrapText="1"/>
    </xf>
    <xf numFmtId="179" fontId="43" fillId="0" borderId="1" xfId="0" applyNumberFormat="1" applyFont="1" applyBorder="1" applyAlignment="1">
      <alignment horizontal="right" vertical="top" wrapText="1"/>
    </xf>
    <xf numFmtId="44" fontId="43" fillId="0" borderId="1" xfId="1955" applyFont="1" applyBorder="1" applyAlignment="1" applyProtection="1">
      <alignment horizontal="right" vertical="top" wrapText="1"/>
    </xf>
    <xf numFmtId="0" fontId="44" fillId="0" borderId="1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 wrapText="1"/>
    </xf>
    <xf numFmtId="0" fontId="45" fillId="11" borderId="1" xfId="0" applyFont="1" applyFill="1" applyBorder="1" applyAlignment="1">
      <alignment horizontal="right" vertical="top" wrapText="1"/>
    </xf>
    <xf numFmtId="44" fontId="43" fillId="0" borderId="1" xfId="1955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0" borderId="1" xfId="0" applyFont="1" applyBorder="1" applyAlignment="1">
      <alignment vertical="top" wrapText="1"/>
    </xf>
    <xf numFmtId="0" fontId="45" fillId="11" borderId="4" xfId="0" applyFont="1" applyFill="1" applyBorder="1" applyAlignment="1">
      <alignment horizontal="right" vertical="center" wrapText="1"/>
    </xf>
    <xf numFmtId="44" fontId="45" fillId="0" borderId="1" xfId="1955" applyFont="1" applyBorder="1" applyAlignment="1" applyProtection="1">
      <alignment horizontal="right" vertical="top" wrapText="1"/>
    </xf>
    <xf numFmtId="44" fontId="45" fillId="0" borderId="1" xfId="1955" applyFont="1" applyBorder="1" applyAlignment="1" applyProtection="1">
      <alignment horizontal="right" wrapText="1"/>
    </xf>
    <xf numFmtId="0" fontId="0" fillId="0" borderId="0" xfId="0" applyAlignment="1">
      <alignment vertical="center"/>
    </xf>
    <xf numFmtId="2" fontId="13" fillId="0" borderId="5" xfId="1957" applyNumberFormat="1" applyFont="1" applyBorder="1" applyAlignment="1" applyProtection="1">
      <alignment vertical="center"/>
      <protection locked="0"/>
    </xf>
    <xf numFmtId="0" fontId="56" fillId="8" borderId="0" xfId="0" applyFont="1" applyFill="1" applyAlignment="1">
      <alignment horizontal="center" vertical="center"/>
    </xf>
    <xf numFmtId="0" fontId="8" fillId="11" borderId="46" xfId="758" applyFont="1" applyFill="1" applyBorder="1" applyAlignment="1">
      <alignment horizontal="center"/>
    </xf>
    <xf numFmtId="0" fontId="8" fillId="11" borderId="47" xfId="758" applyFont="1" applyFill="1" applyBorder="1" applyAlignment="1">
      <alignment horizontal="center"/>
    </xf>
    <xf numFmtId="0" fontId="8" fillId="11" borderId="47" xfId="758" applyFont="1" applyFill="1" applyBorder="1" applyAlignment="1">
      <alignment horizontal="right"/>
    </xf>
    <xf numFmtId="0" fontId="6" fillId="0" borderId="0" xfId="870"/>
    <xf numFmtId="0" fontId="6" fillId="0" borderId="10" xfId="758" applyBorder="1"/>
    <xf numFmtId="0" fontId="6" fillId="0" borderId="1" xfId="758" applyBorder="1" applyAlignment="1">
      <alignment horizontal="center"/>
    </xf>
    <xf numFmtId="0" fontId="6" fillId="0" borderId="1" xfId="758" applyBorder="1" applyAlignment="1">
      <alignment horizontal="right"/>
    </xf>
    <xf numFmtId="0" fontId="6" fillId="0" borderId="1" xfId="758" applyBorder="1"/>
    <xf numFmtId="0" fontId="6" fillId="0" borderId="10" xfId="758" applyBorder="1" applyAlignment="1">
      <alignment horizontal="center"/>
    </xf>
    <xf numFmtId="49" fontId="6" fillId="0" borderId="1" xfId="758" applyNumberFormat="1" applyBorder="1"/>
    <xf numFmtId="164" fontId="0" fillId="0" borderId="1" xfId="918" applyFont="1" applyBorder="1"/>
    <xf numFmtId="10" fontId="0" fillId="0" borderId="1" xfId="919" applyNumberFormat="1" applyFont="1" applyBorder="1"/>
    <xf numFmtId="9" fontId="6" fillId="4" borderId="1" xfId="919" applyFont="1" applyFill="1" applyBorder="1"/>
    <xf numFmtId="164" fontId="6" fillId="0" borderId="1" xfId="758" applyNumberFormat="1" applyBorder="1"/>
    <xf numFmtId="0" fontId="6" fillId="0" borderId="0" xfId="758"/>
    <xf numFmtId="164" fontId="0" fillId="0" borderId="0" xfId="918" applyFont="1"/>
    <xf numFmtId="164" fontId="8" fillId="4" borderId="45" xfId="918" applyFont="1" applyFill="1" applyBorder="1"/>
    <xf numFmtId="164" fontId="6" fillId="4" borderId="50" xfId="758" applyNumberFormat="1" applyFill="1" applyBorder="1"/>
    <xf numFmtId="10" fontId="0" fillId="0" borderId="5" xfId="919" applyNumberFormat="1" applyFont="1" applyBorder="1"/>
    <xf numFmtId="10" fontId="6" fillId="3" borderId="48" xfId="758" applyNumberFormat="1" applyFill="1" applyBorder="1"/>
    <xf numFmtId="0" fontId="50" fillId="0" borderId="1" xfId="0" applyFont="1" applyBorder="1" applyAlignment="1">
      <alignment horizontal="center" vertical="center" wrapText="1"/>
    </xf>
    <xf numFmtId="44" fontId="49" fillId="7" borderId="1" xfId="0" applyNumberFormat="1" applyFont="1" applyFill="1" applyBorder="1" applyAlignment="1">
      <alignment vertical="center" wrapText="1"/>
    </xf>
    <xf numFmtId="10" fontId="49" fillId="7" borderId="16" xfId="1956" applyNumberFormat="1" applyFont="1" applyFill="1" applyBorder="1" applyAlignment="1">
      <alignment vertical="center" wrapText="1"/>
    </xf>
    <xf numFmtId="10" fontId="54" fillId="3" borderId="1" xfId="1956" applyNumberFormat="1" applyFont="1" applyFill="1" applyBorder="1"/>
    <xf numFmtId="10" fontId="0" fillId="0" borderId="1" xfId="1956" applyNumberFormat="1" applyFont="1" applyBorder="1"/>
    <xf numFmtId="182" fontId="50" fillId="0" borderId="1" xfId="25" applyNumberFormat="1" applyFont="1" applyFill="1" applyBorder="1" applyAlignment="1">
      <alignment horizontal="left" vertical="center" wrapText="1"/>
    </xf>
    <xf numFmtId="43" fontId="52" fillId="0" borderId="0" xfId="0" applyNumberFormat="1" applyFont="1" applyAlignment="1">
      <alignment horizontal="center" vertical="center" wrapText="1"/>
    </xf>
    <xf numFmtId="44" fontId="52" fillId="0" borderId="0" xfId="0" applyNumberFormat="1" applyFont="1" applyAlignment="1">
      <alignment horizontal="center" vertical="center" wrapText="1"/>
    </xf>
    <xf numFmtId="2" fontId="13" fillId="6" borderId="35" xfId="1957" applyNumberFormat="1" applyFont="1" applyFill="1" applyBorder="1" applyAlignment="1" applyProtection="1">
      <alignment horizontal="left" vertical="center" wrapText="1"/>
      <protection locked="0"/>
    </xf>
    <xf numFmtId="9" fontId="8" fillId="4" borderId="45" xfId="1956" applyFont="1" applyFill="1" applyBorder="1"/>
    <xf numFmtId="0" fontId="0" fillId="0" borderId="0" xfId="1956" applyNumberFormat="1" applyFont="1"/>
    <xf numFmtId="0" fontId="6" fillId="0" borderId="0" xfId="0" applyFont="1"/>
    <xf numFmtId="0" fontId="6" fillId="0" borderId="1" xfId="173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173" applyFill="1" applyBorder="1" applyAlignment="1">
      <alignment horizontal="left" vertical="center" wrapText="1"/>
    </xf>
    <xf numFmtId="0" fontId="6" fillId="4" borderId="1" xfId="11" applyFont="1" applyFill="1" applyBorder="1" applyAlignment="1">
      <alignment horizontal="center" vertical="center"/>
    </xf>
    <xf numFmtId="164" fontId="50" fillId="4" borderId="1" xfId="25" applyFont="1" applyFill="1" applyBorder="1" applyAlignment="1">
      <alignment horizontal="left" vertical="center" wrapText="1"/>
    </xf>
    <xf numFmtId="164" fontId="49" fillId="4" borderId="1" xfId="25" applyFont="1" applyFill="1" applyBorder="1" applyAlignment="1">
      <alignment horizontal="left" vertical="center" wrapText="1"/>
    </xf>
    <xf numFmtId="164" fontId="49" fillId="0" borderId="1" xfId="25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3" fontId="0" fillId="0" borderId="0" xfId="0" applyNumberFormat="1"/>
    <xf numFmtId="44" fontId="52" fillId="0" borderId="0" xfId="1955" applyFont="1" applyFill="1" applyBorder="1" applyAlignment="1">
      <alignment horizontal="left" vertical="center" wrapText="1"/>
    </xf>
    <xf numFmtId="2" fontId="47" fillId="8" borderId="36" xfId="1957" applyNumberFormat="1" applyFont="1" applyFill="1" applyBorder="1" applyAlignment="1" applyProtection="1">
      <alignment horizontal="center" vertical="center"/>
      <protection locked="0"/>
    </xf>
    <xf numFmtId="2" fontId="47" fillId="8" borderId="30" xfId="1957" applyNumberFormat="1" applyFont="1" applyFill="1" applyBorder="1" applyAlignment="1" applyProtection="1">
      <alignment horizontal="center" vertical="center"/>
      <protection locked="0"/>
    </xf>
    <xf numFmtId="0" fontId="49" fillId="7" borderId="4" xfId="0" applyFont="1" applyFill="1" applyBorder="1" applyAlignment="1">
      <alignment horizontal="left" vertical="center" wrapText="1"/>
    </xf>
    <xf numFmtId="0" fontId="49" fillId="7" borderId="15" xfId="0" applyFont="1" applyFill="1" applyBorder="1" applyAlignment="1">
      <alignment horizontal="left" vertical="center" wrapText="1"/>
    </xf>
    <xf numFmtId="0" fontId="51" fillId="0" borderId="4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3" fillId="0" borderId="5" xfId="1957" applyNumberFormat="1" applyFont="1" applyBorder="1" applyAlignment="1" applyProtection="1">
      <alignment horizontal="left" vertical="center"/>
      <protection locked="0"/>
    </xf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0" borderId="33" xfId="1957" applyNumberFormat="1" applyFont="1" applyBorder="1" applyAlignment="1" applyProtection="1">
      <alignment horizontal="center" vertical="center" wrapText="1"/>
      <protection locked="0"/>
    </xf>
    <xf numFmtId="2" fontId="13" fillId="0" borderId="0" xfId="1957" applyNumberFormat="1" applyFont="1" applyAlignment="1" applyProtection="1">
      <alignment horizontal="center" vertical="center" wrapText="1"/>
      <protection locked="0"/>
    </xf>
    <xf numFmtId="2" fontId="13" fillId="0" borderId="6" xfId="1957" applyNumberFormat="1" applyFont="1" applyBorder="1" applyAlignment="1" applyProtection="1">
      <alignment horizontal="center" vertical="center" wrapText="1"/>
      <protection locked="0"/>
    </xf>
    <xf numFmtId="181" fontId="13" fillId="6" borderId="35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0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1" xfId="1955" applyNumberFormat="1" applyFont="1" applyFill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right"/>
    </xf>
    <xf numFmtId="2" fontId="13" fillId="0" borderId="33" xfId="1957" applyNumberFormat="1" applyFont="1" applyBorder="1" applyAlignment="1" applyProtection="1">
      <alignment horizontal="left" vertical="center"/>
      <protection locked="0"/>
    </xf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6" borderId="35" xfId="1957" applyNumberFormat="1" applyFont="1" applyFill="1" applyBorder="1" applyAlignment="1" applyProtection="1">
      <alignment horizontal="left" vertical="center"/>
      <protection locked="0"/>
    </xf>
    <xf numFmtId="2" fontId="13" fillId="6" borderId="30" xfId="1957" applyNumberFormat="1" applyFont="1" applyFill="1" applyBorder="1" applyAlignment="1" applyProtection="1">
      <alignment horizontal="left" vertical="center"/>
      <protection locked="0"/>
    </xf>
    <xf numFmtId="2" fontId="13" fillId="6" borderId="31" xfId="1957" applyNumberFormat="1" applyFont="1" applyFill="1" applyBorder="1" applyAlignment="1" applyProtection="1">
      <alignment horizontal="left" vertical="center"/>
      <protection locked="0"/>
    </xf>
    <xf numFmtId="0" fontId="49" fillId="7" borderId="1" xfId="0" applyFont="1" applyFill="1" applyBorder="1" applyAlignment="1">
      <alignment horizontal="left" vertical="center" wrapText="1"/>
    </xf>
    <xf numFmtId="2" fontId="13" fillId="6" borderId="29" xfId="1957" applyNumberFormat="1" applyFont="1" applyFill="1" applyBorder="1" applyAlignment="1" applyProtection="1">
      <alignment horizontal="left" vertical="center" wrapText="1"/>
      <protection locked="0"/>
    </xf>
    <xf numFmtId="2" fontId="13" fillId="6" borderId="30" xfId="1957" applyNumberFormat="1" applyFont="1" applyFill="1" applyBorder="1" applyAlignment="1" applyProtection="1">
      <alignment horizontal="left" vertical="center" wrapText="1"/>
      <protection locked="0"/>
    </xf>
    <xf numFmtId="2" fontId="55" fillId="8" borderId="36" xfId="1957" applyNumberFormat="1" applyFont="1" applyFill="1" applyBorder="1" applyAlignment="1" applyProtection="1">
      <alignment horizontal="center" vertical="center"/>
      <protection locked="0"/>
    </xf>
    <xf numFmtId="2" fontId="55" fillId="8" borderId="30" xfId="1957" applyNumberFormat="1" applyFont="1" applyFill="1" applyBorder="1" applyAlignment="1" applyProtection="1">
      <alignment horizontal="center" vertical="center"/>
      <protection locked="0"/>
    </xf>
    <xf numFmtId="0" fontId="51" fillId="0" borderId="1" xfId="0" applyFont="1" applyBorder="1" applyAlignment="1">
      <alignment horizontal="center"/>
    </xf>
    <xf numFmtId="0" fontId="36" fillId="9" borderId="17" xfId="173" applyFont="1" applyFill="1" applyBorder="1" applyAlignment="1" applyProtection="1">
      <alignment horizontal="center" vertical="center"/>
      <protection hidden="1"/>
    </xf>
    <xf numFmtId="0" fontId="36" fillId="9" borderId="18" xfId="173" applyFont="1" applyFill="1" applyBorder="1" applyAlignment="1" applyProtection="1">
      <alignment horizontal="center" vertical="center"/>
      <protection hidden="1"/>
    </xf>
    <xf numFmtId="0" fontId="36" fillId="9" borderId="19" xfId="173" applyFont="1" applyFill="1" applyBorder="1" applyAlignment="1" applyProtection="1">
      <alignment horizontal="center" vertical="center"/>
      <protection hidden="1"/>
    </xf>
    <xf numFmtId="0" fontId="37" fillId="0" borderId="20" xfId="173" applyFont="1" applyBorder="1" applyAlignment="1" applyProtection="1">
      <alignment horizontal="center" vertical="center"/>
      <protection hidden="1"/>
    </xf>
    <xf numFmtId="0" fontId="37" fillId="0" borderId="21" xfId="173" applyFont="1" applyBorder="1" applyAlignment="1" applyProtection="1">
      <alignment horizontal="center" vertical="center"/>
      <protection hidden="1"/>
    </xf>
    <xf numFmtId="0" fontId="37" fillId="0" borderId="22" xfId="173" applyFont="1" applyBorder="1" applyAlignment="1" applyProtection="1">
      <alignment horizontal="center" vertical="center"/>
      <protection hidden="1"/>
    </xf>
    <xf numFmtId="0" fontId="37" fillId="0" borderId="23" xfId="173" applyFont="1" applyBorder="1" applyAlignment="1" applyProtection="1">
      <alignment horizontal="left" vertical="center" wrapText="1"/>
      <protection hidden="1"/>
    </xf>
    <xf numFmtId="0" fontId="37" fillId="0" borderId="24" xfId="173" applyFont="1" applyBorder="1" applyAlignment="1" applyProtection="1">
      <alignment horizontal="left" vertical="center" wrapText="1"/>
      <protection hidden="1"/>
    </xf>
    <xf numFmtId="0" fontId="37" fillId="0" borderId="25" xfId="173" applyFont="1" applyBorder="1" applyAlignment="1" applyProtection="1">
      <alignment horizontal="left" vertical="center" wrapText="1"/>
      <protection hidden="1"/>
    </xf>
    <xf numFmtId="49" fontId="37" fillId="0" borderId="23" xfId="173" applyNumberFormat="1" applyFont="1" applyBorder="1" applyAlignment="1">
      <alignment horizontal="left"/>
    </xf>
    <xf numFmtId="49" fontId="37" fillId="0" borderId="24" xfId="173" applyNumberFormat="1" applyFont="1" applyBorder="1" applyAlignment="1">
      <alignment horizontal="left"/>
    </xf>
    <xf numFmtId="49" fontId="37" fillId="0" borderId="25" xfId="173" applyNumberFormat="1" applyFont="1" applyBorder="1" applyAlignment="1">
      <alignment horizontal="left"/>
    </xf>
    <xf numFmtId="0" fontId="37" fillId="0" borderId="5" xfId="173" applyFont="1" applyBorder="1" applyAlignment="1">
      <alignment horizontal="left" vertical="center" wrapText="1"/>
    </xf>
    <xf numFmtId="0" fontId="37" fillId="0" borderId="0" xfId="173" applyFont="1" applyAlignment="1">
      <alignment horizontal="left" vertical="center" wrapText="1"/>
    </xf>
    <xf numFmtId="0" fontId="37" fillId="0" borderId="6" xfId="173" applyFont="1" applyBorder="1" applyAlignment="1">
      <alignment horizontal="left" vertical="center" wrapText="1"/>
    </xf>
    <xf numFmtId="0" fontId="37" fillId="0" borderId="7" xfId="173" applyFont="1" applyBorder="1" applyAlignment="1">
      <alignment horizontal="left" vertical="center" wrapText="1"/>
    </xf>
    <xf numFmtId="0" fontId="37" fillId="0" borderId="8" xfId="173" applyFont="1" applyBorder="1" applyAlignment="1">
      <alignment horizontal="left" vertical="center" wrapText="1"/>
    </xf>
    <xf numFmtId="0" fontId="37" fillId="0" borderId="9" xfId="173" applyFont="1" applyBorder="1" applyAlignment="1">
      <alignment horizontal="left" vertical="center" wrapText="1"/>
    </xf>
    <xf numFmtId="0" fontId="45" fillId="0" borderId="4" xfId="0" applyFont="1" applyBorder="1" applyAlignment="1">
      <alignment horizontal="center" wrapText="1"/>
    </xf>
    <xf numFmtId="0" fontId="45" fillId="0" borderId="15" xfId="0" applyFont="1" applyBorder="1" applyAlignment="1">
      <alignment horizontal="center" wrapText="1"/>
    </xf>
    <xf numFmtId="0" fontId="45" fillId="0" borderId="4" xfId="0" applyFont="1" applyBorder="1" applyAlignment="1">
      <alignment horizontal="center" vertical="top" wrapText="1"/>
    </xf>
    <xf numFmtId="0" fontId="45" fillId="0" borderId="16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right" vertical="top" wrapText="1"/>
    </xf>
    <xf numFmtId="0" fontId="45" fillId="0" borderId="15" xfId="0" applyFont="1" applyBorder="1" applyAlignment="1">
      <alignment horizontal="right" vertical="top" wrapText="1"/>
    </xf>
    <xf numFmtId="0" fontId="45" fillId="0" borderId="16" xfId="0" applyFont="1" applyBorder="1" applyAlignment="1">
      <alignment horizontal="right" vertical="top" wrapText="1"/>
    </xf>
    <xf numFmtId="0" fontId="45" fillId="0" borderId="4" xfId="0" applyFont="1" applyBorder="1" applyAlignment="1">
      <alignment horizontal="right" wrapText="1"/>
    </xf>
    <xf numFmtId="0" fontId="45" fillId="0" borderId="15" xfId="0" applyFont="1" applyBorder="1" applyAlignment="1">
      <alignment horizontal="right" wrapText="1"/>
    </xf>
    <xf numFmtId="0" fontId="45" fillId="0" borderId="16" xfId="0" applyFont="1" applyBorder="1" applyAlignment="1">
      <alignment horizontal="right" wrapText="1"/>
    </xf>
    <xf numFmtId="0" fontId="43" fillId="3" borderId="5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6" xfId="0" applyFont="1" applyBorder="1" applyAlignment="1">
      <alignment horizontal="center" vertical="top" wrapText="1"/>
    </xf>
    <xf numFmtId="0" fontId="42" fillId="11" borderId="4" xfId="0" applyFont="1" applyFill="1" applyBorder="1" applyAlignment="1">
      <alignment horizontal="center" vertical="center" wrapText="1"/>
    </xf>
    <xf numFmtId="0" fontId="42" fillId="11" borderId="15" xfId="0" applyFont="1" applyFill="1" applyBorder="1" applyAlignment="1">
      <alignment horizontal="center" vertical="center" wrapText="1"/>
    </xf>
    <xf numFmtId="0" fontId="42" fillId="11" borderId="16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56" fillId="8" borderId="33" xfId="0" applyFont="1" applyFill="1" applyBorder="1" applyAlignment="1">
      <alignment horizontal="center" vertical="center"/>
    </xf>
    <xf numFmtId="0" fontId="56" fillId="8" borderId="0" xfId="0" applyFont="1" applyFill="1" applyAlignment="1">
      <alignment horizontal="center" vertical="center"/>
    </xf>
    <xf numFmtId="0" fontId="41" fillId="0" borderId="35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2" fontId="13" fillId="0" borderId="0" xfId="1957" applyNumberFormat="1" applyFont="1" applyAlignment="1" applyProtection="1">
      <alignment horizontal="center" vertical="center"/>
      <protection locked="0"/>
    </xf>
    <xf numFmtId="2" fontId="13" fillId="0" borderId="33" xfId="1957" applyNumberFormat="1" applyFont="1" applyBorder="1" applyAlignment="1" applyProtection="1">
      <alignment horizontal="center" vertical="center"/>
      <protection locked="0"/>
    </xf>
    <xf numFmtId="181" fontId="6" fillId="6" borderId="35" xfId="1955" applyNumberFormat="1" applyFont="1" applyFill="1" applyBorder="1" applyAlignment="1" applyProtection="1">
      <alignment horizontal="center" vertical="center" wrapText="1"/>
      <protection locked="0"/>
    </xf>
    <xf numFmtId="181" fontId="6" fillId="6" borderId="30" xfId="1955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4" borderId="48" xfId="758" applyFill="1" applyBorder="1" applyAlignment="1">
      <alignment horizontal="right"/>
    </xf>
    <xf numFmtId="0" fontId="6" fillId="4" borderId="44" xfId="758" applyFill="1" applyBorder="1" applyAlignment="1">
      <alignment horizontal="right"/>
    </xf>
    <xf numFmtId="0" fontId="6" fillId="4" borderId="49" xfId="758" applyFill="1" applyBorder="1" applyAlignment="1">
      <alignment horizontal="right"/>
    </xf>
    <xf numFmtId="2" fontId="13" fillId="6" borderId="27" xfId="1957" applyNumberFormat="1" applyFont="1" applyFill="1" applyBorder="1" applyAlignment="1" applyProtection="1">
      <alignment horizontal="left" vertical="center"/>
      <protection locked="0"/>
    </xf>
    <xf numFmtId="2" fontId="13" fillId="6" borderId="42" xfId="1957" applyNumberFormat="1" applyFont="1" applyFill="1" applyBorder="1" applyAlignment="1" applyProtection="1">
      <alignment horizontal="left" vertical="center"/>
      <protection locked="0"/>
    </xf>
    <xf numFmtId="0" fontId="6" fillId="4" borderId="48" xfId="758" applyFill="1" applyBorder="1" applyAlignment="1">
      <alignment horizontal="center"/>
    </xf>
    <xf numFmtId="0" fontId="6" fillId="4" borderId="49" xfId="758" applyFill="1" applyBorder="1" applyAlignment="1">
      <alignment horizontal="center"/>
    </xf>
    <xf numFmtId="44" fontId="56" fillId="8" borderId="38" xfId="1955" applyFont="1" applyFill="1" applyBorder="1" applyAlignment="1">
      <alignment horizontal="center" vertical="center"/>
    </xf>
    <xf numFmtId="44" fontId="56" fillId="8" borderId="36" xfId="1955" applyFont="1" applyFill="1" applyBorder="1" applyAlignment="1">
      <alignment horizontal="center" vertical="center"/>
    </xf>
    <xf numFmtId="44" fontId="56" fillId="8" borderId="33" xfId="1955" applyFont="1" applyFill="1" applyBorder="1" applyAlignment="1">
      <alignment horizontal="center" vertical="center"/>
    </xf>
    <xf numFmtId="44" fontId="56" fillId="8" borderId="0" xfId="1955" applyFont="1" applyFill="1" applyBorder="1" applyAlignment="1">
      <alignment horizontal="center" vertical="center"/>
    </xf>
    <xf numFmtId="0" fontId="8" fillId="11" borderId="43" xfId="758" applyFont="1" applyFill="1" applyBorder="1" applyAlignment="1">
      <alignment horizontal="center"/>
    </xf>
    <xf numFmtId="0" fontId="8" fillId="11" borderId="8" xfId="758" applyFont="1" applyFill="1" applyBorder="1" applyAlignment="1">
      <alignment horizontal="center"/>
    </xf>
  </cellXfs>
  <cellStyles count="1958">
    <cellStyle name="_x000d_&#10;JournalTemplate=C:\COMFO\CTALK\JOURSTD.TPL_x000d_&#10;LbStateAddress=3 3 0 251 1 89 2 311_x000d_&#10;LbStateJou" xfId="77"/>
    <cellStyle name="20% - Ênfase1 100" xfId="1"/>
    <cellStyle name="60% - Ênfase6 37" xfId="2"/>
    <cellStyle name="Comma_Arauco Piping list" xfId="78"/>
    <cellStyle name="Comma0" xfId="79"/>
    <cellStyle name="CORES" xfId="80"/>
    <cellStyle name="Currency [0]_Arauco Piping list" xfId="81"/>
    <cellStyle name="Currency_Arauco Piping list" xfId="82"/>
    <cellStyle name="Currency0" xfId="83"/>
    <cellStyle name="Data" xfId="84"/>
    <cellStyle name="Date" xfId="8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6"/>
    <cellStyle name="Excel_BuiltIn_Comma" xfId="8"/>
    <cellStyle name="Fixed" xfId="87"/>
    <cellStyle name="Fixo" xfId="88"/>
    <cellStyle name="Followed Hyperlink" xfId="89"/>
    <cellStyle name="Grey" xfId="90"/>
    <cellStyle name="Heading" xfId="9"/>
    <cellStyle name="Heading 1" xfId="91"/>
    <cellStyle name="Heading 2" xfId="92"/>
    <cellStyle name="Heading1" xfId="10"/>
    <cellStyle name="Hiperlink 2" xfId="93"/>
    <cellStyle name="Indefinido" xfId="94"/>
    <cellStyle name="Input [yellow]" xfId="95"/>
    <cellStyle name="material" xfId="96"/>
    <cellStyle name="material 2" xfId="417"/>
    <cellStyle name="material 2 2" xfId="976"/>
    <cellStyle name="material 3" xfId="358"/>
    <cellStyle name="material 4" xfId="242"/>
    <cellStyle name="MINIPG" xfId="97"/>
    <cellStyle name="Moeda" xfId="1955" builtinId="4"/>
    <cellStyle name="Moeda 2" xfId="98"/>
    <cellStyle name="Normal" xfId="0" builtinId="0"/>
    <cellStyle name="Normal - Style1" xfId="99"/>
    <cellStyle name="Normal 10" xfId="100"/>
    <cellStyle name="Normal 10 2" xfId="187"/>
    <cellStyle name="Normal 10 2 2" xfId="927"/>
    <cellStyle name="Normal 10 3" xfId="870"/>
    <cellStyle name="Normal 100" xfId="869"/>
    <cellStyle name="Normal 101" xfId="1189"/>
    <cellStyle name="Normal 102" xfId="1192"/>
    <cellStyle name="Normal 103" xfId="1926"/>
    <cellStyle name="Normal 104" xfId="1931"/>
    <cellStyle name="Normal 105" xfId="1935"/>
    <cellStyle name="Normal 106" xfId="1941"/>
    <cellStyle name="Normal 107" xfId="1948"/>
    <cellStyle name="Normal 108" xfId="1932"/>
    <cellStyle name="Normal 109" xfId="1951"/>
    <cellStyle name="Normal 11" xfId="101"/>
    <cellStyle name="Normal 11 2" xfId="188"/>
    <cellStyle name="Normal 11 2 2" xfId="928"/>
    <cellStyle name="Normal 11 3" xfId="871"/>
    <cellStyle name="Normal 110" xfId="1946"/>
    <cellStyle name="Normal 111" xfId="1927"/>
    <cellStyle name="Normal 112" xfId="1953"/>
    <cellStyle name="Normal 113" xfId="1949"/>
    <cellStyle name="Normal 114" xfId="1943"/>
    <cellStyle name="Normal 115" xfId="1934"/>
    <cellStyle name="Normal 116" xfId="1930"/>
    <cellStyle name="Normal 117" xfId="1936"/>
    <cellStyle name="Normal 118" xfId="1929"/>
    <cellStyle name="Normal 119" xfId="1940"/>
    <cellStyle name="Normal 12" xfId="102"/>
    <cellStyle name="Normal 12 2" xfId="418"/>
    <cellStyle name="Normal 12 2 2" xfId="977"/>
    <cellStyle name="Normal 12 3" xfId="359"/>
    <cellStyle name="Normal 12 4" xfId="243"/>
    <cellStyle name="Normal 120" xfId="1928"/>
    <cellStyle name="Normal 121" xfId="1937"/>
    <cellStyle name="Normal 122" xfId="1952"/>
    <cellStyle name="Normal 123" xfId="1933"/>
    <cellStyle name="Normal 124" xfId="1954"/>
    <cellStyle name="Normal 125" xfId="1944"/>
    <cellStyle name="Normal 126" xfId="1945"/>
    <cellStyle name="Normal 127" xfId="1938"/>
    <cellStyle name="Normal 128" xfId="1950"/>
    <cellStyle name="Normal 129" xfId="1939"/>
    <cellStyle name="Normal 13" xfId="103"/>
    <cellStyle name="Normal 13 10" xfId="1194"/>
    <cellStyle name="Normal 13 2" xfId="104"/>
    <cellStyle name="Normal 13 2 2" xfId="420"/>
    <cellStyle name="Normal 13 2 2 2" xfId="625"/>
    <cellStyle name="Normal 13 2 2 2 2" xfId="1091"/>
    <cellStyle name="Normal 13 2 2 2 2 2" xfId="1239"/>
    <cellStyle name="Normal 13 2 2 2 3" xfId="1238"/>
    <cellStyle name="Normal 13 2 2 3" xfId="776"/>
    <cellStyle name="Normal 13 2 2 3 2" xfId="1240"/>
    <cellStyle name="Normal 13 2 2 4" xfId="1237"/>
    <cellStyle name="Normal 13 2 3" xfId="527"/>
    <cellStyle name="Normal 13 2 3 2" xfId="669"/>
    <cellStyle name="Normal 13 2 3 2 2" xfId="1134"/>
    <cellStyle name="Normal 13 2 3 2 2 2" xfId="1243"/>
    <cellStyle name="Normal 13 2 3 2 3" xfId="1242"/>
    <cellStyle name="Normal 13 2 3 3" xfId="822"/>
    <cellStyle name="Normal 13 2 3 3 2" xfId="1244"/>
    <cellStyle name="Normal 13 2 3 4" xfId="1241"/>
    <cellStyle name="Normal 13 2 4" xfId="361"/>
    <cellStyle name="Normal 13 2 4 2" xfId="932"/>
    <cellStyle name="Normal 13 2 4 2 2" xfId="1246"/>
    <cellStyle name="Normal 13 2 4 3" xfId="1245"/>
    <cellStyle name="Normal 13 2 5" xfId="579"/>
    <cellStyle name="Normal 13 2 5 2" xfId="1045"/>
    <cellStyle name="Normal 13 2 5 2 2" xfId="1248"/>
    <cellStyle name="Normal 13 2 5 3" xfId="1247"/>
    <cellStyle name="Normal 13 2 6" xfId="245"/>
    <cellStyle name="Normal 13 2 6 2" xfId="873"/>
    <cellStyle name="Normal 13 2 6 2 2" xfId="1250"/>
    <cellStyle name="Normal 13 2 6 3" xfId="1249"/>
    <cellStyle name="Normal 13 2 7" xfId="728"/>
    <cellStyle name="Normal 13 2 7 2" xfId="1251"/>
    <cellStyle name="Normal 13 2 8" xfId="1195"/>
    <cellStyle name="Normal 13 3" xfId="105"/>
    <cellStyle name="Normal 13 3 2" xfId="421"/>
    <cellStyle name="Normal 13 3 2 2" xfId="626"/>
    <cellStyle name="Normal 13 3 2 2 2" xfId="1092"/>
    <cellStyle name="Normal 13 3 2 2 2 2" xfId="1254"/>
    <cellStyle name="Normal 13 3 2 2 3" xfId="1253"/>
    <cellStyle name="Normal 13 3 2 3" xfId="777"/>
    <cellStyle name="Normal 13 3 2 3 2" xfId="1255"/>
    <cellStyle name="Normal 13 3 2 4" xfId="1252"/>
    <cellStyle name="Normal 13 3 3" xfId="528"/>
    <cellStyle name="Normal 13 3 3 2" xfId="670"/>
    <cellStyle name="Normal 13 3 3 2 2" xfId="1135"/>
    <cellStyle name="Normal 13 3 3 2 2 2" xfId="1258"/>
    <cellStyle name="Normal 13 3 3 2 3" xfId="1257"/>
    <cellStyle name="Normal 13 3 3 3" xfId="823"/>
    <cellStyle name="Normal 13 3 3 3 2" xfId="1259"/>
    <cellStyle name="Normal 13 3 3 4" xfId="1256"/>
    <cellStyle name="Normal 13 3 4" xfId="362"/>
    <cellStyle name="Normal 13 3 4 2" xfId="933"/>
    <cellStyle name="Normal 13 3 4 2 2" xfId="1261"/>
    <cellStyle name="Normal 13 3 4 3" xfId="1260"/>
    <cellStyle name="Normal 13 3 5" xfId="580"/>
    <cellStyle name="Normal 13 3 5 2" xfId="1046"/>
    <cellStyle name="Normal 13 3 5 2 2" xfId="1263"/>
    <cellStyle name="Normal 13 3 5 3" xfId="1262"/>
    <cellStyle name="Normal 13 3 6" xfId="246"/>
    <cellStyle name="Normal 13 3 6 2" xfId="874"/>
    <cellStyle name="Normal 13 3 6 2 2" xfId="1265"/>
    <cellStyle name="Normal 13 3 6 3" xfId="1264"/>
    <cellStyle name="Normal 13 3 7" xfId="729"/>
    <cellStyle name="Normal 13 3 7 2" xfId="1266"/>
    <cellStyle name="Normal 13 3 8" xfId="1196"/>
    <cellStyle name="Normal 13 4" xfId="180"/>
    <cellStyle name="Normal 13 4 2" xfId="299"/>
    <cellStyle name="Normal 13 4 2 2" xfId="524"/>
    <cellStyle name="Normal 13 4 2 2 2" xfId="1041"/>
    <cellStyle name="Normal 13 4 2 2 2 2" xfId="1269"/>
    <cellStyle name="Normal 13 4 2 2 3" xfId="1268"/>
    <cellStyle name="Normal 13 4 2 3" xfId="666"/>
    <cellStyle name="Normal 13 4 2 3 2" xfId="1131"/>
    <cellStyle name="Normal 13 4 2 3 2 2" xfId="1271"/>
    <cellStyle name="Normal 13 4 2 3 3" xfId="1270"/>
    <cellStyle name="Normal 13 4 2 4" xfId="716"/>
    <cellStyle name="Normal 13 4 2 4 2" xfId="1179"/>
    <cellStyle name="Normal 13 4 2 4 2 2" xfId="1273"/>
    <cellStyle name="Normal 13 4 2 4 3" xfId="1272"/>
    <cellStyle name="Normal 13 4 2 5" xfId="819"/>
    <cellStyle name="Normal 13 4 2 5 2" xfId="1274"/>
    <cellStyle name="Normal 13 4 2 6" xfId="1267"/>
    <cellStyle name="Normal 13 4 3" xfId="300"/>
    <cellStyle name="Normal 13 4 3 2" xfId="525"/>
    <cellStyle name="Normal 13 4 3 2 2" xfId="1042"/>
    <cellStyle name="Normal 13 4 3 2 2 2" xfId="1277"/>
    <cellStyle name="Normal 13 4 3 2 3" xfId="1276"/>
    <cellStyle name="Normal 13 4 3 3" xfId="667"/>
    <cellStyle name="Normal 13 4 3 3 2" xfId="1132"/>
    <cellStyle name="Normal 13 4 3 3 2 2" xfId="1279"/>
    <cellStyle name="Normal 13 4 3 3 3" xfId="1278"/>
    <cellStyle name="Normal 13 4 3 4" xfId="820"/>
    <cellStyle name="Normal 13 4 3 4 2" xfId="1280"/>
    <cellStyle name="Normal 13 4 3 5" xfId="1275"/>
    <cellStyle name="Normal 13 4 4" xfId="411"/>
    <cellStyle name="Normal 13 4 4 2" xfId="971"/>
    <cellStyle name="Normal 13 4 4 2 2" xfId="1282"/>
    <cellStyle name="Normal 13 4 4 3" xfId="1281"/>
    <cellStyle name="Normal 13 4 5" xfId="618"/>
    <cellStyle name="Normal 13 4 5 2" xfId="1084"/>
    <cellStyle name="Normal 13 4 5 2 2" xfId="1284"/>
    <cellStyle name="Normal 13 4 5 3" xfId="1283"/>
    <cellStyle name="Normal 13 4 6" xfId="715"/>
    <cellStyle name="Normal 13 4 6 2" xfId="1178"/>
    <cellStyle name="Normal 13 4 6 2 2" xfId="1286"/>
    <cellStyle name="Normal 13 4 6 3" xfId="1285"/>
    <cellStyle name="Normal 13 4 7" xfId="295"/>
    <cellStyle name="Normal 13 4 7 2" xfId="920"/>
    <cellStyle name="Normal 13 4 7 2 2" xfId="1288"/>
    <cellStyle name="Normal 13 4 7 3" xfId="1287"/>
    <cellStyle name="Normal 13 4 8" xfId="769"/>
    <cellStyle name="Normal 13 4 8 2" xfId="1289"/>
    <cellStyle name="Normal 13 4 9" xfId="1234"/>
    <cellStyle name="Normal 13 5" xfId="301"/>
    <cellStyle name="Normal 13 5 2" xfId="568"/>
    <cellStyle name="Normal 13 5 2 2" xfId="709"/>
    <cellStyle name="Normal 13 5 2 2 2" xfId="1174"/>
    <cellStyle name="Normal 13 5 2 2 2 2" xfId="1293"/>
    <cellStyle name="Normal 13 5 2 2 3" xfId="1292"/>
    <cellStyle name="Normal 13 5 2 3" xfId="862"/>
    <cellStyle name="Normal 13 5 2 3 2" xfId="1294"/>
    <cellStyle name="Normal 13 5 2 4" xfId="1291"/>
    <cellStyle name="Normal 13 5 3" xfId="419"/>
    <cellStyle name="Normal 13 5 3 2" xfId="978"/>
    <cellStyle name="Normal 13 5 3 2 2" xfId="1296"/>
    <cellStyle name="Normal 13 5 3 3" xfId="1295"/>
    <cellStyle name="Normal 13 5 4" xfId="624"/>
    <cellStyle name="Normal 13 5 4 2" xfId="1090"/>
    <cellStyle name="Normal 13 5 4 2 2" xfId="1298"/>
    <cellStyle name="Normal 13 5 4 3" xfId="1297"/>
    <cellStyle name="Normal 13 5 5" xfId="775"/>
    <cellStyle name="Normal 13 5 5 2" xfId="1299"/>
    <cellStyle name="Normal 13 5 6" xfId="1290"/>
    <cellStyle name="Normal 13 6" xfId="360"/>
    <cellStyle name="Normal 13 6 2" xfId="931"/>
    <cellStyle name="Normal 13 6 2 2" xfId="1301"/>
    <cellStyle name="Normal 13 6 3" xfId="1300"/>
    <cellStyle name="Normal 13 7" xfId="578"/>
    <cellStyle name="Normal 13 7 2" xfId="1044"/>
    <cellStyle name="Normal 13 7 2 2" xfId="1303"/>
    <cellStyle name="Normal 13 7 3" xfId="1302"/>
    <cellStyle name="Normal 13 8" xfId="244"/>
    <cellStyle name="Normal 13 8 2" xfId="872"/>
    <cellStyle name="Normal 13 8 2 2" xfId="1305"/>
    <cellStyle name="Normal 13 8 3" xfId="1304"/>
    <cellStyle name="Normal 13 9" xfId="727"/>
    <cellStyle name="Normal 13 9 2" xfId="1306"/>
    <cellStyle name="Normal 130" xfId="1947"/>
    <cellStyle name="Normal 131" xfId="1942"/>
    <cellStyle name="Normal 14" xfId="106"/>
    <cellStyle name="Normal 14 10" xfId="1197"/>
    <cellStyle name="Normal 14 2" xfId="107"/>
    <cellStyle name="Normal 14 2 2" xfId="423"/>
    <cellStyle name="Normal 14 2 2 2" xfId="628"/>
    <cellStyle name="Normal 14 2 2 2 2" xfId="1094"/>
    <cellStyle name="Normal 14 2 2 2 2 2" xfId="1309"/>
    <cellStyle name="Normal 14 2 2 2 3" xfId="1308"/>
    <cellStyle name="Normal 14 2 2 3" xfId="779"/>
    <cellStyle name="Normal 14 2 2 3 2" xfId="1310"/>
    <cellStyle name="Normal 14 2 2 4" xfId="1307"/>
    <cellStyle name="Normal 14 2 3" xfId="530"/>
    <cellStyle name="Normal 14 2 3 2" xfId="672"/>
    <cellStyle name="Normal 14 2 3 2 2" xfId="1137"/>
    <cellStyle name="Normal 14 2 3 2 2 2" xfId="1313"/>
    <cellStyle name="Normal 14 2 3 2 3" xfId="1312"/>
    <cellStyle name="Normal 14 2 3 3" xfId="825"/>
    <cellStyle name="Normal 14 2 3 3 2" xfId="1314"/>
    <cellStyle name="Normal 14 2 3 4" xfId="1311"/>
    <cellStyle name="Normal 14 2 4" xfId="364"/>
    <cellStyle name="Normal 14 2 4 2" xfId="935"/>
    <cellStyle name="Normal 14 2 4 2 2" xfId="1316"/>
    <cellStyle name="Normal 14 2 4 3" xfId="1315"/>
    <cellStyle name="Normal 14 2 5" xfId="582"/>
    <cellStyle name="Normal 14 2 5 2" xfId="1048"/>
    <cellStyle name="Normal 14 2 5 2 2" xfId="1318"/>
    <cellStyle name="Normal 14 2 5 3" xfId="1317"/>
    <cellStyle name="Normal 14 2 6" xfId="248"/>
    <cellStyle name="Normal 14 2 6 2" xfId="876"/>
    <cellStyle name="Normal 14 2 6 2 2" xfId="1320"/>
    <cellStyle name="Normal 14 2 6 3" xfId="1319"/>
    <cellStyle name="Normal 14 2 7" xfId="731"/>
    <cellStyle name="Normal 14 2 7 2" xfId="1321"/>
    <cellStyle name="Normal 14 2 8" xfId="1198"/>
    <cellStyle name="Normal 14 3" xfId="108"/>
    <cellStyle name="Normal 14 3 2" xfId="424"/>
    <cellStyle name="Normal 14 3 2 2" xfId="629"/>
    <cellStyle name="Normal 14 3 2 2 2" xfId="1095"/>
    <cellStyle name="Normal 14 3 2 2 2 2" xfId="1324"/>
    <cellStyle name="Normal 14 3 2 2 3" xfId="1323"/>
    <cellStyle name="Normal 14 3 2 3" xfId="780"/>
    <cellStyle name="Normal 14 3 2 3 2" xfId="1325"/>
    <cellStyle name="Normal 14 3 2 4" xfId="1322"/>
    <cellStyle name="Normal 14 3 3" xfId="531"/>
    <cellStyle name="Normal 14 3 3 2" xfId="673"/>
    <cellStyle name="Normal 14 3 3 2 2" xfId="1138"/>
    <cellStyle name="Normal 14 3 3 2 2 2" xfId="1328"/>
    <cellStyle name="Normal 14 3 3 2 3" xfId="1327"/>
    <cellStyle name="Normal 14 3 3 3" xfId="826"/>
    <cellStyle name="Normal 14 3 3 3 2" xfId="1329"/>
    <cellStyle name="Normal 14 3 3 4" xfId="1326"/>
    <cellStyle name="Normal 14 3 4" xfId="365"/>
    <cellStyle name="Normal 14 3 4 2" xfId="936"/>
    <cellStyle name="Normal 14 3 4 2 2" xfId="1331"/>
    <cellStyle name="Normal 14 3 4 3" xfId="1330"/>
    <cellStyle name="Normal 14 3 5" xfId="583"/>
    <cellStyle name="Normal 14 3 5 2" xfId="1049"/>
    <cellStyle name="Normal 14 3 5 2 2" xfId="1333"/>
    <cellStyle name="Normal 14 3 5 3" xfId="1332"/>
    <cellStyle name="Normal 14 3 6" xfId="249"/>
    <cellStyle name="Normal 14 3 6 2" xfId="877"/>
    <cellStyle name="Normal 14 3 6 2 2" xfId="1335"/>
    <cellStyle name="Normal 14 3 6 3" xfId="1334"/>
    <cellStyle name="Normal 14 3 7" xfId="732"/>
    <cellStyle name="Normal 14 3 7 2" xfId="1336"/>
    <cellStyle name="Normal 14 3 8" xfId="1199"/>
    <cellStyle name="Normal 14 4" xfId="422"/>
    <cellStyle name="Normal 14 4 2" xfId="627"/>
    <cellStyle name="Normal 14 4 2 2" xfId="1093"/>
    <cellStyle name="Normal 14 4 2 2 2" xfId="1339"/>
    <cellStyle name="Normal 14 4 2 3" xfId="1338"/>
    <cellStyle name="Normal 14 4 3" xfId="778"/>
    <cellStyle name="Normal 14 4 3 2" xfId="1340"/>
    <cellStyle name="Normal 14 4 4" xfId="1337"/>
    <cellStyle name="Normal 14 5" xfId="529"/>
    <cellStyle name="Normal 14 5 2" xfId="671"/>
    <cellStyle name="Normal 14 5 2 2" xfId="1136"/>
    <cellStyle name="Normal 14 5 2 2 2" xfId="1343"/>
    <cellStyle name="Normal 14 5 2 3" xfId="1342"/>
    <cellStyle name="Normal 14 5 3" xfId="824"/>
    <cellStyle name="Normal 14 5 3 2" xfId="1344"/>
    <cellStyle name="Normal 14 5 4" xfId="1341"/>
    <cellStyle name="Normal 14 6" xfId="363"/>
    <cellStyle name="Normal 14 6 2" xfId="934"/>
    <cellStyle name="Normal 14 6 2 2" xfId="1346"/>
    <cellStyle name="Normal 14 6 3" xfId="1345"/>
    <cellStyle name="Normal 14 7" xfId="581"/>
    <cellStyle name="Normal 14 7 2" xfId="1047"/>
    <cellStyle name="Normal 14 7 2 2" xfId="1348"/>
    <cellStyle name="Normal 14 7 3" xfId="1347"/>
    <cellStyle name="Normal 14 8" xfId="247"/>
    <cellStyle name="Normal 14 8 2" xfId="875"/>
    <cellStyle name="Normal 14 8 2 2" xfId="1350"/>
    <cellStyle name="Normal 14 8 3" xfId="1349"/>
    <cellStyle name="Normal 14 9" xfId="730"/>
    <cellStyle name="Normal 14 9 2" xfId="1351"/>
    <cellStyle name="Normal 15" xfId="109"/>
    <cellStyle name="Normal 15 2" xfId="110"/>
    <cellStyle name="Normal 16" xfId="111"/>
    <cellStyle name="Normal 16 10" xfId="1200"/>
    <cellStyle name="Normal 16 2" xfId="112"/>
    <cellStyle name="Normal 16 2 2" xfId="426"/>
    <cellStyle name="Normal 16 2 2 2" xfId="631"/>
    <cellStyle name="Normal 16 2 2 2 2" xfId="1097"/>
    <cellStyle name="Normal 16 2 2 2 2 2" xfId="1354"/>
    <cellStyle name="Normal 16 2 2 2 3" xfId="1353"/>
    <cellStyle name="Normal 16 2 2 3" xfId="782"/>
    <cellStyle name="Normal 16 2 2 3 2" xfId="1355"/>
    <cellStyle name="Normal 16 2 2 4" xfId="1352"/>
    <cellStyle name="Normal 16 2 3" xfId="533"/>
    <cellStyle name="Normal 16 2 3 2" xfId="675"/>
    <cellStyle name="Normal 16 2 3 2 2" xfId="1140"/>
    <cellStyle name="Normal 16 2 3 2 2 2" xfId="1358"/>
    <cellStyle name="Normal 16 2 3 2 3" xfId="1357"/>
    <cellStyle name="Normal 16 2 3 3" xfId="828"/>
    <cellStyle name="Normal 16 2 3 3 2" xfId="1359"/>
    <cellStyle name="Normal 16 2 3 4" xfId="1356"/>
    <cellStyle name="Normal 16 2 4" xfId="367"/>
    <cellStyle name="Normal 16 2 4 2" xfId="938"/>
    <cellStyle name="Normal 16 2 4 2 2" xfId="1361"/>
    <cellStyle name="Normal 16 2 4 3" xfId="1360"/>
    <cellStyle name="Normal 16 2 5" xfId="585"/>
    <cellStyle name="Normal 16 2 5 2" xfId="1051"/>
    <cellStyle name="Normal 16 2 5 2 2" xfId="1363"/>
    <cellStyle name="Normal 16 2 5 3" xfId="1362"/>
    <cellStyle name="Normal 16 2 6" xfId="251"/>
    <cellStyle name="Normal 16 2 6 2" xfId="880"/>
    <cellStyle name="Normal 16 2 6 2 2" xfId="1365"/>
    <cellStyle name="Normal 16 2 6 3" xfId="1364"/>
    <cellStyle name="Normal 16 2 7" xfId="734"/>
    <cellStyle name="Normal 16 2 7 2" xfId="1366"/>
    <cellStyle name="Normal 16 2 8" xfId="1201"/>
    <cellStyle name="Normal 16 3" xfId="113"/>
    <cellStyle name="Normal 16 3 2" xfId="427"/>
    <cellStyle name="Normal 16 3 2 2" xfId="632"/>
    <cellStyle name="Normal 16 3 2 2 2" xfId="1098"/>
    <cellStyle name="Normal 16 3 2 2 2 2" xfId="1369"/>
    <cellStyle name="Normal 16 3 2 2 3" xfId="1368"/>
    <cellStyle name="Normal 16 3 2 3" xfId="783"/>
    <cellStyle name="Normal 16 3 2 3 2" xfId="1370"/>
    <cellStyle name="Normal 16 3 2 4" xfId="1367"/>
    <cellStyle name="Normal 16 3 3" xfId="534"/>
    <cellStyle name="Normal 16 3 3 2" xfId="676"/>
    <cellStyle name="Normal 16 3 3 2 2" xfId="1141"/>
    <cellStyle name="Normal 16 3 3 2 2 2" xfId="1373"/>
    <cellStyle name="Normal 16 3 3 2 3" xfId="1372"/>
    <cellStyle name="Normal 16 3 3 3" xfId="829"/>
    <cellStyle name="Normal 16 3 3 3 2" xfId="1374"/>
    <cellStyle name="Normal 16 3 3 4" xfId="1371"/>
    <cellStyle name="Normal 16 3 4" xfId="368"/>
    <cellStyle name="Normal 16 3 4 2" xfId="939"/>
    <cellStyle name="Normal 16 3 4 2 2" xfId="1376"/>
    <cellStyle name="Normal 16 3 4 3" xfId="1375"/>
    <cellStyle name="Normal 16 3 5" xfId="586"/>
    <cellStyle name="Normal 16 3 5 2" xfId="1052"/>
    <cellStyle name="Normal 16 3 5 2 2" xfId="1378"/>
    <cellStyle name="Normal 16 3 5 3" xfId="1377"/>
    <cellStyle name="Normal 16 3 6" xfId="252"/>
    <cellStyle name="Normal 16 3 6 2" xfId="881"/>
    <cellStyle name="Normal 16 3 6 2 2" xfId="1380"/>
    <cellStyle name="Normal 16 3 6 3" xfId="1379"/>
    <cellStyle name="Normal 16 3 7" xfId="735"/>
    <cellStyle name="Normal 16 3 7 2" xfId="1381"/>
    <cellStyle name="Normal 16 3 8" xfId="1202"/>
    <cellStyle name="Normal 16 4" xfId="425"/>
    <cellStyle name="Normal 16 4 2" xfId="630"/>
    <cellStyle name="Normal 16 4 2 2" xfId="1096"/>
    <cellStyle name="Normal 16 4 2 2 2" xfId="1384"/>
    <cellStyle name="Normal 16 4 2 3" xfId="1383"/>
    <cellStyle name="Normal 16 4 3" xfId="781"/>
    <cellStyle name="Normal 16 4 3 2" xfId="1385"/>
    <cellStyle name="Normal 16 4 4" xfId="1382"/>
    <cellStyle name="Normal 16 5" xfId="532"/>
    <cellStyle name="Normal 16 5 2" xfId="674"/>
    <cellStyle name="Normal 16 5 2 2" xfId="1139"/>
    <cellStyle name="Normal 16 5 2 2 2" xfId="1388"/>
    <cellStyle name="Normal 16 5 2 3" xfId="1387"/>
    <cellStyle name="Normal 16 5 3" xfId="827"/>
    <cellStyle name="Normal 16 5 3 2" xfId="1389"/>
    <cellStyle name="Normal 16 5 4" xfId="1386"/>
    <cellStyle name="Normal 16 6" xfId="366"/>
    <cellStyle name="Normal 16 6 2" xfId="937"/>
    <cellStyle name="Normal 16 6 2 2" xfId="1391"/>
    <cellStyle name="Normal 16 6 3" xfId="1390"/>
    <cellStyle name="Normal 16 7" xfId="584"/>
    <cellStyle name="Normal 16 7 2" xfId="1050"/>
    <cellStyle name="Normal 16 7 2 2" xfId="1393"/>
    <cellStyle name="Normal 16 7 3" xfId="1392"/>
    <cellStyle name="Normal 16 8" xfId="250"/>
    <cellStyle name="Normal 16 8 2" xfId="879"/>
    <cellStyle name="Normal 16 8 2 2" xfId="1395"/>
    <cellStyle name="Normal 16 8 3" xfId="1394"/>
    <cellStyle name="Normal 16 9" xfId="733"/>
    <cellStyle name="Normal 16 9 2" xfId="1396"/>
    <cellStyle name="Normal 17" xfId="51"/>
    <cellStyle name="Normal 17 2" xfId="428"/>
    <cellStyle name="Normal 17 2 2" xfId="979"/>
    <cellStyle name="Normal 17 3" xfId="332"/>
    <cellStyle name="Normal 17 4" xfId="216"/>
    <cellStyle name="Normal 18" xfId="61"/>
    <cellStyle name="Normal 18 2" xfId="429"/>
    <cellStyle name="Normal 18 2 2" xfId="980"/>
    <cellStyle name="Normal 18 3" xfId="342"/>
    <cellStyle name="Normal 18 4" xfId="226"/>
    <cellStyle name="Normal 19" xfId="42"/>
    <cellStyle name="Normal 19 2" xfId="430"/>
    <cellStyle name="Normal 19 2 2" xfId="981"/>
    <cellStyle name="Normal 19 3" xfId="323"/>
    <cellStyle name="Normal 19 4" xfId="207"/>
    <cellStyle name="Normal 2" xfId="11"/>
    <cellStyle name="Normal 2 2" xfId="114"/>
    <cellStyle name="Normal 2 2 2" xfId="173"/>
    <cellStyle name="Normal 2 2 2 2" xfId="758"/>
    <cellStyle name="Normal 2 3" xfId="726"/>
    <cellStyle name="Normal 20" xfId="47"/>
    <cellStyle name="Normal 20 2" xfId="431"/>
    <cellStyle name="Normal 20 2 2" xfId="982"/>
    <cellStyle name="Normal 20 3" xfId="328"/>
    <cellStyle name="Normal 20 4" xfId="212"/>
    <cellStyle name="Normal 21" xfId="56"/>
    <cellStyle name="Normal 21 2" xfId="432"/>
    <cellStyle name="Normal 21 2 2" xfId="983"/>
    <cellStyle name="Normal 21 3" xfId="337"/>
    <cellStyle name="Normal 21 4" xfId="221"/>
    <cellStyle name="Normal 22" xfId="38"/>
    <cellStyle name="Normal 22 2" xfId="433"/>
    <cellStyle name="Normal 22 2 2" xfId="984"/>
    <cellStyle name="Normal 22 3" xfId="319"/>
    <cellStyle name="Normal 22 4" xfId="203"/>
    <cellStyle name="Normal 23" xfId="34"/>
    <cellStyle name="Normal 23 2" xfId="434"/>
    <cellStyle name="Normal 23 2 2" xfId="985"/>
    <cellStyle name="Normal 23 3" xfId="315"/>
    <cellStyle name="Normal 23 4" xfId="199"/>
    <cellStyle name="Normal 24" xfId="36"/>
    <cellStyle name="Normal 24 2" xfId="435"/>
    <cellStyle name="Normal 24 2 2" xfId="986"/>
    <cellStyle name="Normal 24 3" xfId="317"/>
    <cellStyle name="Normal 24 4" xfId="201"/>
    <cellStyle name="Normal 25" xfId="65"/>
    <cellStyle name="Normal 25 2" xfId="436"/>
    <cellStyle name="Normal 25 2 2" xfId="987"/>
    <cellStyle name="Normal 25 3" xfId="346"/>
    <cellStyle name="Normal 25 4" xfId="230"/>
    <cellStyle name="Normal 26" xfId="76"/>
    <cellStyle name="Normal 26 2" xfId="437"/>
    <cellStyle name="Normal 26 2 2" xfId="988"/>
    <cellStyle name="Normal 26 3" xfId="357"/>
    <cellStyle name="Normal 26 4" xfId="241"/>
    <cellStyle name="Normal 27" xfId="70"/>
    <cellStyle name="Normal 27 2" xfId="438"/>
    <cellStyle name="Normal 27 2 2" xfId="989"/>
    <cellStyle name="Normal 27 3" xfId="351"/>
    <cellStyle name="Normal 27 4" xfId="235"/>
    <cellStyle name="Normal 28" xfId="67"/>
    <cellStyle name="Normal 28 2" xfId="439"/>
    <cellStyle name="Normal 28 2 2" xfId="990"/>
    <cellStyle name="Normal 28 3" xfId="348"/>
    <cellStyle name="Normal 28 4" xfId="232"/>
    <cellStyle name="Normal 29" xfId="58"/>
    <cellStyle name="Normal 29 2" xfId="440"/>
    <cellStyle name="Normal 29 2 2" xfId="991"/>
    <cellStyle name="Normal 29 3" xfId="339"/>
    <cellStyle name="Normal 29 4" xfId="223"/>
    <cellStyle name="Normal 3" xfId="12"/>
    <cellStyle name="Normal 3 2" xfId="115"/>
    <cellStyle name="Normal 3 2 2" xfId="442"/>
    <cellStyle name="Normal 3 2 2 2" xfId="993"/>
    <cellStyle name="Normal 3 2 3" xfId="369"/>
    <cellStyle name="Normal 3 2 4" xfId="253"/>
    <cellStyle name="Normal 3 3" xfId="116"/>
    <cellStyle name="Normal 3 4" xfId="441"/>
    <cellStyle name="Normal 3 4 2" xfId="992"/>
    <cellStyle name="Normal 30" xfId="32"/>
    <cellStyle name="Normal 30 2" xfId="443"/>
    <cellStyle name="Normal 30 2 2" xfId="994"/>
    <cellStyle name="Normal 30 3" xfId="313"/>
    <cellStyle name="Normal 30 4" xfId="197"/>
    <cellStyle name="Normal 31" xfId="63"/>
    <cellStyle name="Normal 31 2" xfId="444"/>
    <cellStyle name="Normal 31 2 2" xfId="995"/>
    <cellStyle name="Normal 31 3" xfId="344"/>
    <cellStyle name="Normal 31 4" xfId="228"/>
    <cellStyle name="Normal 32" xfId="40"/>
    <cellStyle name="Normal 32 2" xfId="445"/>
    <cellStyle name="Normal 32 2 2" xfId="996"/>
    <cellStyle name="Normal 32 3" xfId="321"/>
    <cellStyle name="Normal 32 4" xfId="205"/>
    <cellStyle name="Normal 33" xfId="49"/>
    <cellStyle name="Normal 33 2" xfId="446"/>
    <cellStyle name="Normal 33 2 2" xfId="997"/>
    <cellStyle name="Normal 33 3" xfId="330"/>
    <cellStyle name="Normal 33 4" xfId="214"/>
    <cellStyle name="Normal 34" xfId="74"/>
    <cellStyle name="Normal 34 2" xfId="447"/>
    <cellStyle name="Normal 34 2 2" xfId="998"/>
    <cellStyle name="Normal 34 3" xfId="355"/>
    <cellStyle name="Normal 34 4" xfId="239"/>
    <cellStyle name="Normal 35" xfId="59"/>
    <cellStyle name="Normal 35 2" xfId="448"/>
    <cellStyle name="Normal 35 2 2" xfId="999"/>
    <cellStyle name="Normal 35 3" xfId="340"/>
    <cellStyle name="Normal 35 4" xfId="224"/>
    <cellStyle name="Normal 36" xfId="45"/>
    <cellStyle name="Normal 36 2" xfId="449"/>
    <cellStyle name="Normal 36 2 2" xfId="1000"/>
    <cellStyle name="Normal 36 3" xfId="326"/>
    <cellStyle name="Normal 36 4" xfId="210"/>
    <cellStyle name="Normal 37" xfId="117"/>
    <cellStyle name="Normal 37 2" xfId="118"/>
    <cellStyle name="Normal 37 2 2" xfId="451"/>
    <cellStyle name="Normal 37 2 2 2" xfId="634"/>
    <cellStyle name="Normal 37 2 2 2 2" xfId="1100"/>
    <cellStyle name="Normal 37 2 2 2 2 2" xfId="1399"/>
    <cellStyle name="Normal 37 2 2 2 3" xfId="1398"/>
    <cellStyle name="Normal 37 2 2 3" xfId="786"/>
    <cellStyle name="Normal 37 2 2 3 2" xfId="1400"/>
    <cellStyle name="Normal 37 2 2 4" xfId="1397"/>
    <cellStyle name="Normal 37 2 3" xfId="536"/>
    <cellStyle name="Normal 37 2 3 2" xfId="678"/>
    <cellStyle name="Normal 37 2 3 2 2" xfId="1143"/>
    <cellStyle name="Normal 37 2 3 2 2 2" xfId="1403"/>
    <cellStyle name="Normal 37 2 3 2 3" xfId="1402"/>
    <cellStyle name="Normal 37 2 3 3" xfId="831"/>
    <cellStyle name="Normal 37 2 3 3 2" xfId="1404"/>
    <cellStyle name="Normal 37 2 3 4" xfId="1401"/>
    <cellStyle name="Normal 37 2 4" xfId="371"/>
    <cellStyle name="Normal 37 2 4 2" xfId="941"/>
    <cellStyle name="Normal 37 2 4 2 2" xfId="1406"/>
    <cellStyle name="Normal 37 2 4 3" xfId="1405"/>
    <cellStyle name="Normal 37 2 5" xfId="588"/>
    <cellStyle name="Normal 37 2 5 2" xfId="1054"/>
    <cellStyle name="Normal 37 2 5 2 2" xfId="1408"/>
    <cellStyle name="Normal 37 2 5 3" xfId="1407"/>
    <cellStyle name="Normal 37 2 6" xfId="255"/>
    <cellStyle name="Normal 37 2 6 2" xfId="883"/>
    <cellStyle name="Normal 37 2 6 2 2" xfId="1410"/>
    <cellStyle name="Normal 37 2 6 3" xfId="1409"/>
    <cellStyle name="Normal 37 2 7" xfId="737"/>
    <cellStyle name="Normal 37 2 7 2" xfId="1411"/>
    <cellStyle name="Normal 37 2 8" xfId="1204"/>
    <cellStyle name="Normal 37 3" xfId="450"/>
    <cellStyle name="Normal 37 3 2" xfId="633"/>
    <cellStyle name="Normal 37 3 2 2" xfId="1099"/>
    <cellStyle name="Normal 37 3 2 2 2" xfId="1414"/>
    <cellStyle name="Normal 37 3 2 3" xfId="1413"/>
    <cellStyle name="Normal 37 3 3" xfId="785"/>
    <cellStyle name="Normal 37 3 3 2" xfId="1415"/>
    <cellStyle name="Normal 37 3 4" xfId="1412"/>
    <cellStyle name="Normal 37 4" xfId="535"/>
    <cellStyle name="Normal 37 4 2" xfId="677"/>
    <cellStyle name="Normal 37 4 2 2" xfId="1142"/>
    <cellStyle name="Normal 37 4 2 2 2" xfId="1418"/>
    <cellStyle name="Normal 37 4 2 3" xfId="1417"/>
    <cellStyle name="Normal 37 4 3" xfId="830"/>
    <cellStyle name="Normal 37 4 3 2" xfId="1419"/>
    <cellStyle name="Normal 37 4 4" xfId="1416"/>
    <cellStyle name="Normal 37 5" xfId="370"/>
    <cellStyle name="Normal 37 5 2" xfId="940"/>
    <cellStyle name="Normal 37 5 2 2" xfId="1421"/>
    <cellStyle name="Normal 37 5 3" xfId="1420"/>
    <cellStyle name="Normal 37 6" xfId="587"/>
    <cellStyle name="Normal 37 6 2" xfId="1053"/>
    <cellStyle name="Normal 37 6 2 2" xfId="1423"/>
    <cellStyle name="Normal 37 6 3" xfId="1422"/>
    <cellStyle name="Normal 37 7" xfId="254"/>
    <cellStyle name="Normal 37 7 2" xfId="882"/>
    <cellStyle name="Normal 37 7 2 2" xfId="1425"/>
    <cellStyle name="Normal 37 7 3" xfId="1424"/>
    <cellStyle name="Normal 37 8" xfId="736"/>
    <cellStyle name="Normal 37 8 2" xfId="1426"/>
    <cellStyle name="Normal 37 9" xfId="1203"/>
    <cellStyle name="Normal 38" xfId="119"/>
    <cellStyle name="Normal 38 2" xfId="452"/>
    <cellStyle name="Normal 38 2 2" xfId="635"/>
    <cellStyle name="Normal 38 2 2 2" xfId="1101"/>
    <cellStyle name="Normal 38 2 2 2 2" xfId="1429"/>
    <cellStyle name="Normal 38 2 2 3" xfId="1428"/>
    <cellStyle name="Normal 38 2 3" xfId="787"/>
    <cellStyle name="Normal 38 2 3 2" xfId="1430"/>
    <cellStyle name="Normal 38 2 4" xfId="1427"/>
    <cellStyle name="Normal 38 3" xfId="537"/>
    <cellStyle name="Normal 38 3 2" xfId="679"/>
    <cellStyle name="Normal 38 3 2 2" xfId="1144"/>
    <cellStyle name="Normal 38 3 2 2 2" xfId="1433"/>
    <cellStyle name="Normal 38 3 2 3" xfId="1432"/>
    <cellStyle name="Normal 38 3 3" xfId="832"/>
    <cellStyle name="Normal 38 3 3 2" xfId="1434"/>
    <cellStyle name="Normal 38 3 4" xfId="1431"/>
    <cellStyle name="Normal 38 4" xfId="372"/>
    <cellStyle name="Normal 38 4 2" xfId="942"/>
    <cellStyle name="Normal 38 4 2 2" xfId="1436"/>
    <cellStyle name="Normal 38 4 3" xfId="1435"/>
    <cellStyle name="Normal 38 5" xfId="589"/>
    <cellStyle name="Normal 38 5 2" xfId="1055"/>
    <cellStyle name="Normal 38 5 2 2" xfId="1438"/>
    <cellStyle name="Normal 38 5 3" xfId="1437"/>
    <cellStyle name="Normal 38 6" xfId="256"/>
    <cellStyle name="Normal 38 6 2" xfId="884"/>
    <cellStyle name="Normal 38 6 2 2" xfId="1440"/>
    <cellStyle name="Normal 38 6 3" xfId="1439"/>
    <cellStyle name="Normal 38 7" xfId="738"/>
    <cellStyle name="Normal 38 7 2" xfId="1441"/>
    <cellStyle name="Normal 38 8" xfId="1205"/>
    <cellStyle name="Normal 39" xfId="33"/>
    <cellStyle name="Normal 39 2" xfId="453"/>
    <cellStyle name="Normal 39 2 2" xfId="1001"/>
    <cellStyle name="Normal 39 3" xfId="314"/>
    <cellStyle name="Normal 39 4" xfId="198"/>
    <cellStyle name="Normal 4" xfId="13"/>
    <cellStyle name="Normal 4 2" xfId="175"/>
    <cellStyle name="Normal 4 2 2" xfId="915"/>
    <cellStyle name="Normal 4 3" xfId="454"/>
    <cellStyle name="Normal 4 4" xfId="768"/>
    <cellStyle name="Normal 40" xfId="35"/>
    <cellStyle name="Normal 40 2" xfId="455"/>
    <cellStyle name="Normal 40 2 2" xfId="1002"/>
    <cellStyle name="Normal 40 3" xfId="316"/>
    <cellStyle name="Normal 40 4" xfId="200"/>
    <cellStyle name="Normal 41" xfId="37"/>
    <cellStyle name="Normal 41 2" xfId="456"/>
    <cellStyle name="Normal 41 2 2" xfId="1003"/>
    <cellStyle name="Normal 41 3" xfId="318"/>
    <cellStyle name="Normal 41 4" xfId="202"/>
    <cellStyle name="Normal 42" xfId="39"/>
    <cellStyle name="Normal 42 2" xfId="457"/>
    <cellStyle name="Normal 42 2 2" xfId="1004"/>
    <cellStyle name="Normal 42 3" xfId="320"/>
    <cellStyle name="Normal 42 4" xfId="204"/>
    <cellStyle name="Normal 43" xfId="41"/>
    <cellStyle name="Normal 43 2" xfId="458"/>
    <cellStyle name="Normal 43 2 2" xfId="1005"/>
    <cellStyle name="Normal 43 3" xfId="322"/>
    <cellStyle name="Normal 43 4" xfId="206"/>
    <cellStyle name="Normal 44" xfId="43"/>
    <cellStyle name="Normal 44 2" xfId="459"/>
    <cellStyle name="Normal 44 2 2" xfId="1006"/>
    <cellStyle name="Normal 44 3" xfId="324"/>
    <cellStyle name="Normal 44 4" xfId="208"/>
    <cellStyle name="Normal 45" xfId="44"/>
    <cellStyle name="Normal 45 2" xfId="460"/>
    <cellStyle name="Normal 45 2 2" xfId="1007"/>
    <cellStyle name="Normal 45 3" xfId="325"/>
    <cellStyle name="Normal 45 4" xfId="209"/>
    <cellStyle name="Normal 46" xfId="46"/>
    <cellStyle name="Normal 46 2" xfId="461"/>
    <cellStyle name="Normal 46 2 2" xfId="1008"/>
    <cellStyle name="Normal 46 3" xfId="327"/>
    <cellStyle name="Normal 46 4" xfId="211"/>
    <cellStyle name="Normal 47" xfId="48"/>
    <cellStyle name="Normal 47 2" xfId="462"/>
    <cellStyle name="Normal 47 2 2" xfId="1009"/>
    <cellStyle name="Normal 47 3" xfId="329"/>
    <cellStyle name="Normal 47 4" xfId="213"/>
    <cellStyle name="Normal 48" xfId="50"/>
    <cellStyle name="Normal 48 2" xfId="463"/>
    <cellStyle name="Normal 48 2 2" xfId="1010"/>
    <cellStyle name="Normal 48 3" xfId="331"/>
    <cellStyle name="Normal 48 4" xfId="215"/>
    <cellStyle name="Normal 49" xfId="52"/>
    <cellStyle name="Normal 49 2" xfId="464"/>
    <cellStyle name="Normal 49 2 2" xfId="1011"/>
    <cellStyle name="Normal 49 3" xfId="333"/>
    <cellStyle name="Normal 49 4" xfId="217"/>
    <cellStyle name="Normal 5" xfId="120"/>
    <cellStyle name="Normal 5 10" xfId="739"/>
    <cellStyle name="Normal 5 10 2" xfId="1442"/>
    <cellStyle name="Normal 5 11" xfId="1206"/>
    <cellStyle name="Normal 5 2" xfId="121"/>
    <cellStyle name="Normal 5 2 10" xfId="1207"/>
    <cellStyle name="Normal 5 2 2" xfId="122"/>
    <cellStyle name="Normal 5 2 2 2" xfId="467"/>
    <cellStyle name="Normal 5 2 2 2 2" xfId="638"/>
    <cellStyle name="Normal 5 2 2 2 2 2" xfId="1104"/>
    <cellStyle name="Normal 5 2 2 2 2 2 2" xfId="1445"/>
    <cellStyle name="Normal 5 2 2 2 2 3" xfId="1444"/>
    <cellStyle name="Normal 5 2 2 2 3" xfId="791"/>
    <cellStyle name="Normal 5 2 2 2 3 2" xfId="1446"/>
    <cellStyle name="Normal 5 2 2 2 4" xfId="1443"/>
    <cellStyle name="Normal 5 2 2 3" xfId="541"/>
    <cellStyle name="Normal 5 2 2 3 2" xfId="682"/>
    <cellStyle name="Normal 5 2 2 3 2 2" xfId="1147"/>
    <cellStyle name="Normal 5 2 2 3 2 2 2" xfId="1449"/>
    <cellStyle name="Normal 5 2 2 3 2 3" xfId="1448"/>
    <cellStyle name="Normal 5 2 2 3 3" xfId="835"/>
    <cellStyle name="Normal 5 2 2 3 3 2" xfId="1450"/>
    <cellStyle name="Normal 5 2 2 3 4" xfId="1447"/>
    <cellStyle name="Normal 5 2 2 4" xfId="375"/>
    <cellStyle name="Normal 5 2 2 4 2" xfId="945"/>
    <cellStyle name="Normal 5 2 2 4 2 2" xfId="1452"/>
    <cellStyle name="Normal 5 2 2 4 3" xfId="1451"/>
    <cellStyle name="Normal 5 2 2 5" xfId="592"/>
    <cellStyle name="Normal 5 2 2 5 2" xfId="1058"/>
    <cellStyle name="Normal 5 2 2 5 2 2" xfId="1454"/>
    <cellStyle name="Normal 5 2 2 5 3" xfId="1453"/>
    <cellStyle name="Normal 5 2 2 6" xfId="259"/>
    <cellStyle name="Normal 5 2 2 6 2" xfId="887"/>
    <cellStyle name="Normal 5 2 2 6 2 2" xfId="1456"/>
    <cellStyle name="Normal 5 2 2 6 3" xfId="1455"/>
    <cellStyle name="Normal 5 2 2 7" xfId="741"/>
    <cellStyle name="Normal 5 2 2 7 2" xfId="1457"/>
    <cellStyle name="Normal 5 2 2 8" xfId="1208"/>
    <cellStyle name="Normal 5 2 3" xfId="123"/>
    <cellStyle name="Normal 5 2 3 2" xfId="468"/>
    <cellStyle name="Normal 5 2 3 2 2" xfId="639"/>
    <cellStyle name="Normal 5 2 3 2 2 2" xfId="1105"/>
    <cellStyle name="Normal 5 2 3 2 2 2 2" xfId="1460"/>
    <cellStyle name="Normal 5 2 3 2 2 3" xfId="1459"/>
    <cellStyle name="Normal 5 2 3 2 3" xfId="792"/>
    <cellStyle name="Normal 5 2 3 2 3 2" xfId="1461"/>
    <cellStyle name="Normal 5 2 3 2 4" xfId="1458"/>
    <cellStyle name="Normal 5 2 3 3" xfId="542"/>
    <cellStyle name="Normal 5 2 3 3 2" xfId="683"/>
    <cellStyle name="Normal 5 2 3 3 2 2" xfId="1148"/>
    <cellStyle name="Normal 5 2 3 3 2 2 2" xfId="1464"/>
    <cellStyle name="Normal 5 2 3 3 2 3" xfId="1463"/>
    <cellStyle name="Normal 5 2 3 3 3" xfId="836"/>
    <cellStyle name="Normal 5 2 3 3 3 2" xfId="1465"/>
    <cellStyle name="Normal 5 2 3 3 4" xfId="1462"/>
    <cellStyle name="Normal 5 2 3 4" xfId="376"/>
    <cellStyle name="Normal 5 2 3 4 2" xfId="946"/>
    <cellStyle name="Normal 5 2 3 4 2 2" xfId="1467"/>
    <cellStyle name="Normal 5 2 3 4 3" xfId="1466"/>
    <cellStyle name="Normal 5 2 3 5" xfId="593"/>
    <cellStyle name="Normal 5 2 3 5 2" xfId="1059"/>
    <cellStyle name="Normal 5 2 3 5 2 2" xfId="1469"/>
    <cellStyle name="Normal 5 2 3 5 3" xfId="1468"/>
    <cellStyle name="Normal 5 2 3 6" xfId="260"/>
    <cellStyle name="Normal 5 2 3 6 2" xfId="888"/>
    <cellStyle name="Normal 5 2 3 6 2 2" xfId="1471"/>
    <cellStyle name="Normal 5 2 3 6 3" xfId="1470"/>
    <cellStyle name="Normal 5 2 3 7" xfId="742"/>
    <cellStyle name="Normal 5 2 3 7 2" xfId="1472"/>
    <cellStyle name="Normal 5 2 3 8" xfId="1209"/>
    <cellStyle name="Normal 5 2 4" xfId="466"/>
    <cellStyle name="Normal 5 2 4 2" xfId="637"/>
    <cellStyle name="Normal 5 2 4 2 2" xfId="1103"/>
    <cellStyle name="Normal 5 2 4 2 2 2" xfId="1475"/>
    <cellStyle name="Normal 5 2 4 2 3" xfId="1474"/>
    <cellStyle name="Normal 5 2 4 3" xfId="790"/>
    <cellStyle name="Normal 5 2 4 3 2" xfId="1476"/>
    <cellStyle name="Normal 5 2 4 4" xfId="1473"/>
    <cellStyle name="Normal 5 2 5" xfId="540"/>
    <cellStyle name="Normal 5 2 5 2" xfId="681"/>
    <cellStyle name="Normal 5 2 5 2 2" xfId="1146"/>
    <cellStyle name="Normal 5 2 5 2 2 2" xfId="1479"/>
    <cellStyle name="Normal 5 2 5 2 3" xfId="1478"/>
    <cellStyle name="Normal 5 2 5 3" xfId="834"/>
    <cellStyle name="Normal 5 2 5 3 2" xfId="1480"/>
    <cellStyle name="Normal 5 2 5 4" xfId="1477"/>
    <cellStyle name="Normal 5 2 6" xfId="374"/>
    <cellStyle name="Normal 5 2 6 2" xfId="944"/>
    <cellStyle name="Normal 5 2 6 2 2" xfId="1482"/>
    <cellStyle name="Normal 5 2 6 3" xfId="1481"/>
    <cellStyle name="Normal 5 2 7" xfId="591"/>
    <cellStyle name="Normal 5 2 7 2" xfId="1057"/>
    <cellStyle name="Normal 5 2 7 2 2" xfId="1484"/>
    <cellStyle name="Normal 5 2 7 3" xfId="1483"/>
    <cellStyle name="Normal 5 2 8" xfId="258"/>
    <cellStyle name="Normal 5 2 8 2" xfId="886"/>
    <cellStyle name="Normal 5 2 8 2 2" xfId="1486"/>
    <cellStyle name="Normal 5 2 8 3" xfId="1485"/>
    <cellStyle name="Normal 5 2 9" xfId="740"/>
    <cellStyle name="Normal 5 2 9 2" xfId="1487"/>
    <cellStyle name="Normal 5 3" xfId="124"/>
    <cellStyle name="Normal 5 3 2" xfId="469"/>
    <cellStyle name="Normal 5 3 2 2" xfId="640"/>
    <cellStyle name="Normal 5 3 2 2 2" xfId="1106"/>
    <cellStyle name="Normal 5 3 2 2 2 2" xfId="1490"/>
    <cellStyle name="Normal 5 3 2 2 3" xfId="1489"/>
    <cellStyle name="Normal 5 3 2 3" xfId="793"/>
    <cellStyle name="Normal 5 3 2 3 2" xfId="1491"/>
    <cellStyle name="Normal 5 3 2 4" xfId="1488"/>
    <cellStyle name="Normal 5 3 3" xfId="543"/>
    <cellStyle name="Normal 5 3 3 2" xfId="684"/>
    <cellStyle name="Normal 5 3 3 2 2" xfId="1149"/>
    <cellStyle name="Normal 5 3 3 2 2 2" xfId="1494"/>
    <cellStyle name="Normal 5 3 3 2 3" xfId="1493"/>
    <cellStyle name="Normal 5 3 3 3" xfId="837"/>
    <cellStyle name="Normal 5 3 3 3 2" xfId="1495"/>
    <cellStyle name="Normal 5 3 3 4" xfId="1492"/>
    <cellStyle name="Normal 5 3 4" xfId="377"/>
    <cellStyle name="Normal 5 3 4 2" xfId="947"/>
    <cellStyle name="Normal 5 3 4 2 2" xfId="1497"/>
    <cellStyle name="Normal 5 3 4 3" xfId="1496"/>
    <cellStyle name="Normal 5 3 5" xfId="594"/>
    <cellStyle name="Normal 5 3 5 2" xfId="1060"/>
    <cellStyle name="Normal 5 3 5 2 2" xfId="1499"/>
    <cellStyle name="Normal 5 3 5 3" xfId="1498"/>
    <cellStyle name="Normal 5 3 6" xfId="261"/>
    <cellStyle name="Normal 5 3 6 2" xfId="889"/>
    <cellStyle name="Normal 5 3 6 2 2" xfId="1501"/>
    <cellStyle name="Normal 5 3 6 3" xfId="1500"/>
    <cellStyle name="Normal 5 3 7" xfId="743"/>
    <cellStyle name="Normal 5 3 7 2" xfId="1502"/>
    <cellStyle name="Normal 5 3 8" xfId="1210"/>
    <cellStyle name="Normal 5 4" xfId="125"/>
    <cellStyle name="Normal 5 4 2" xfId="470"/>
    <cellStyle name="Normal 5 4 2 2" xfId="641"/>
    <cellStyle name="Normal 5 4 2 2 2" xfId="1107"/>
    <cellStyle name="Normal 5 4 2 2 2 2" xfId="1505"/>
    <cellStyle name="Normal 5 4 2 2 3" xfId="1504"/>
    <cellStyle name="Normal 5 4 2 3" xfId="794"/>
    <cellStyle name="Normal 5 4 2 3 2" xfId="1506"/>
    <cellStyle name="Normal 5 4 2 4" xfId="1503"/>
    <cellStyle name="Normal 5 4 3" xfId="544"/>
    <cellStyle name="Normal 5 4 3 2" xfId="685"/>
    <cellStyle name="Normal 5 4 3 2 2" xfId="1150"/>
    <cellStyle name="Normal 5 4 3 2 2 2" xfId="1509"/>
    <cellStyle name="Normal 5 4 3 2 3" xfId="1508"/>
    <cellStyle name="Normal 5 4 3 3" xfId="838"/>
    <cellStyle name="Normal 5 4 3 3 2" xfId="1510"/>
    <cellStyle name="Normal 5 4 3 4" xfId="1507"/>
    <cellStyle name="Normal 5 4 4" xfId="378"/>
    <cellStyle name="Normal 5 4 4 2" xfId="948"/>
    <cellStyle name="Normal 5 4 4 2 2" xfId="1512"/>
    <cellStyle name="Normal 5 4 4 3" xfId="1511"/>
    <cellStyle name="Normal 5 4 5" xfId="595"/>
    <cellStyle name="Normal 5 4 5 2" xfId="1061"/>
    <cellStyle name="Normal 5 4 5 2 2" xfId="1514"/>
    <cellStyle name="Normal 5 4 5 3" xfId="1513"/>
    <cellStyle name="Normal 5 4 6" xfId="262"/>
    <cellStyle name="Normal 5 4 6 2" xfId="890"/>
    <cellStyle name="Normal 5 4 6 2 2" xfId="1516"/>
    <cellStyle name="Normal 5 4 6 3" xfId="1515"/>
    <cellStyle name="Normal 5 4 7" xfId="744"/>
    <cellStyle name="Normal 5 4 7 2" xfId="1517"/>
    <cellStyle name="Normal 5 4 8" xfId="1211"/>
    <cellStyle name="Normal 5 5" xfId="465"/>
    <cellStyle name="Normal 5 5 2" xfId="636"/>
    <cellStyle name="Normal 5 5 2 2" xfId="1102"/>
    <cellStyle name="Normal 5 5 2 2 2" xfId="1520"/>
    <cellStyle name="Normal 5 5 2 3" xfId="1519"/>
    <cellStyle name="Normal 5 5 3" xfId="789"/>
    <cellStyle name="Normal 5 5 3 2" xfId="1521"/>
    <cellStyle name="Normal 5 5 4" xfId="1518"/>
    <cellStyle name="Normal 5 6" xfId="539"/>
    <cellStyle name="Normal 5 6 2" xfId="680"/>
    <cellStyle name="Normal 5 6 2 2" xfId="1145"/>
    <cellStyle name="Normal 5 6 2 2 2" xfId="1524"/>
    <cellStyle name="Normal 5 6 2 3" xfId="1523"/>
    <cellStyle name="Normal 5 6 3" xfId="833"/>
    <cellStyle name="Normal 5 6 3 2" xfId="1525"/>
    <cellStyle name="Normal 5 6 4" xfId="1522"/>
    <cellStyle name="Normal 5 7" xfId="373"/>
    <cellStyle name="Normal 5 7 2" xfId="943"/>
    <cellStyle name="Normal 5 7 2 2" xfId="1527"/>
    <cellStyle name="Normal 5 7 3" xfId="1526"/>
    <cellStyle name="Normal 5 8" xfId="590"/>
    <cellStyle name="Normal 5 8 2" xfId="1056"/>
    <cellStyle name="Normal 5 8 2 2" xfId="1529"/>
    <cellStyle name="Normal 5 8 3" xfId="1528"/>
    <cellStyle name="Normal 5 9" xfId="257"/>
    <cellStyle name="Normal 5 9 2" xfId="885"/>
    <cellStyle name="Normal 5 9 2 2" xfId="1531"/>
    <cellStyle name="Normal 5 9 3" xfId="1530"/>
    <cellStyle name="Normal 50" xfId="53"/>
    <cellStyle name="Normal 50 2" xfId="471"/>
    <cellStyle name="Normal 50 2 2" xfId="1012"/>
    <cellStyle name="Normal 50 3" xfId="334"/>
    <cellStyle name="Normal 50 4" xfId="218"/>
    <cellStyle name="Normal 51" xfId="54"/>
    <cellStyle name="Normal 51 2" xfId="472"/>
    <cellStyle name="Normal 51 2 2" xfId="1013"/>
    <cellStyle name="Normal 51 3" xfId="335"/>
    <cellStyle name="Normal 51 4" xfId="219"/>
    <cellStyle name="Normal 52" xfId="55"/>
    <cellStyle name="Normal 52 2" xfId="473"/>
    <cellStyle name="Normal 52 2 2" xfId="1014"/>
    <cellStyle name="Normal 52 3" xfId="336"/>
    <cellStyle name="Normal 52 4" xfId="220"/>
    <cellStyle name="Normal 53" xfId="57"/>
    <cellStyle name="Normal 53 2" xfId="474"/>
    <cellStyle name="Normal 53 2 2" xfId="1015"/>
    <cellStyle name="Normal 53 3" xfId="338"/>
    <cellStyle name="Normal 53 4" xfId="222"/>
    <cellStyle name="Normal 54" xfId="60"/>
    <cellStyle name="Normal 54 2" xfId="475"/>
    <cellStyle name="Normal 54 2 2" xfId="1016"/>
    <cellStyle name="Normal 54 3" xfId="341"/>
    <cellStyle name="Normal 54 4" xfId="225"/>
    <cellStyle name="Normal 55" xfId="62"/>
    <cellStyle name="Normal 55 2" xfId="476"/>
    <cellStyle name="Normal 55 2 2" xfId="1017"/>
    <cellStyle name="Normal 55 3" xfId="343"/>
    <cellStyle name="Normal 55 4" xfId="227"/>
    <cellStyle name="Normal 56" xfId="64"/>
    <cellStyle name="Normal 56 2" xfId="477"/>
    <cellStyle name="Normal 56 2 2" xfId="1018"/>
    <cellStyle name="Normal 56 3" xfId="345"/>
    <cellStyle name="Normal 56 4" xfId="229"/>
    <cellStyle name="Normal 57" xfId="66"/>
    <cellStyle name="Normal 57 2" xfId="478"/>
    <cellStyle name="Normal 57 2 2" xfId="1019"/>
    <cellStyle name="Normal 57 3" xfId="347"/>
    <cellStyle name="Normal 57 4" xfId="231"/>
    <cellStyle name="Normal 58" xfId="68"/>
    <cellStyle name="Normal 58 2" xfId="479"/>
    <cellStyle name="Normal 58 2 2" xfId="1020"/>
    <cellStyle name="Normal 58 3" xfId="349"/>
    <cellStyle name="Normal 58 4" xfId="233"/>
    <cellStyle name="Normal 59" xfId="69"/>
    <cellStyle name="Normal 59 2" xfId="480"/>
    <cellStyle name="Normal 59 2 2" xfId="1021"/>
    <cellStyle name="Normal 59 3" xfId="350"/>
    <cellStyle name="Normal 59 4" xfId="234"/>
    <cellStyle name="Normal 6" xfId="14"/>
    <cellStyle name="Normal 6 10" xfId="191"/>
    <cellStyle name="Normal 6 10 2" xfId="867"/>
    <cellStyle name="Normal 6 10 2 2" xfId="1533"/>
    <cellStyle name="Normal 6 10 3" xfId="1532"/>
    <cellStyle name="Normal 6 11" xfId="724"/>
    <cellStyle name="Normal 6 11 2" xfId="1534"/>
    <cellStyle name="Normal 6 12" xfId="1193"/>
    <cellStyle name="Normal 6 2" xfId="126"/>
    <cellStyle name="Normal 6 2 10" xfId="745"/>
    <cellStyle name="Normal 6 2 10 2" xfId="1535"/>
    <cellStyle name="Normal 6 2 11" xfId="1212"/>
    <cellStyle name="Normal 6 2 2" xfId="127"/>
    <cellStyle name="Normal 6 2 2 10" xfId="1213"/>
    <cellStyle name="Normal 6 2 2 2" xfId="128"/>
    <cellStyle name="Normal 6 2 2 2 2" xfId="484"/>
    <cellStyle name="Normal 6 2 2 2 2 2" xfId="645"/>
    <cellStyle name="Normal 6 2 2 2 2 2 2" xfId="1111"/>
    <cellStyle name="Normal 6 2 2 2 2 2 2 2" xfId="1538"/>
    <cellStyle name="Normal 6 2 2 2 2 2 3" xfId="1537"/>
    <cellStyle name="Normal 6 2 2 2 2 3" xfId="798"/>
    <cellStyle name="Normal 6 2 2 2 2 3 2" xfId="1539"/>
    <cellStyle name="Normal 6 2 2 2 2 4" xfId="1536"/>
    <cellStyle name="Normal 6 2 2 2 3" xfId="547"/>
    <cellStyle name="Normal 6 2 2 2 3 2" xfId="688"/>
    <cellStyle name="Normal 6 2 2 2 3 2 2" xfId="1153"/>
    <cellStyle name="Normal 6 2 2 2 3 2 2 2" xfId="1542"/>
    <cellStyle name="Normal 6 2 2 2 3 2 3" xfId="1541"/>
    <cellStyle name="Normal 6 2 2 2 3 3" xfId="841"/>
    <cellStyle name="Normal 6 2 2 2 3 3 2" xfId="1543"/>
    <cellStyle name="Normal 6 2 2 2 3 4" xfId="1540"/>
    <cellStyle name="Normal 6 2 2 2 4" xfId="381"/>
    <cellStyle name="Normal 6 2 2 2 4 2" xfId="951"/>
    <cellStyle name="Normal 6 2 2 2 4 2 2" xfId="1545"/>
    <cellStyle name="Normal 6 2 2 2 4 3" xfId="1544"/>
    <cellStyle name="Normal 6 2 2 2 5" xfId="598"/>
    <cellStyle name="Normal 6 2 2 2 5 2" xfId="1064"/>
    <cellStyle name="Normal 6 2 2 2 5 2 2" xfId="1547"/>
    <cellStyle name="Normal 6 2 2 2 5 3" xfId="1546"/>
    <cellStyle name="Normal 6 2 2 2 6" xfId="265"/>
    <cellStyle name="Normal 6 2 2 2 6 2" xfId="893"/>
    <cellStyle name="Normal 6 2 2 2 6 2 2" xfId="1549"/>
    <cellStyle name="Normal 6 2 2 2 6 3" xfId="1548"/>
    <cellStyle name="Normal 6 2 2 2 7" xfId="747"/>
    <cellStyle name="Normal 6 2 2 2 7 2" xfId="1550"/>
    <cellStyle name="Normal 6 2 2 2 8" xfId="1214"/>
    <cellStyle name="Normal 6 2 2 3" xfId="129"/>
    <cellStyle name="Normal 6 2 2 3 2" xfId="485"/>
    <cellStyle name="Normal 6 2 2 3 2 2" xfId="646"/>
    <cellStyle name="Normal 6 2 2 3 2 2 2" xfId="1112"/>
    <cellStyle name="Normal 6 2 2 3 2 2 2 2" xfId="1553"/>
    <cellStyle name="Normal 6 2 2 3 2 2 3" xfId="1552"/>
    <cellStyle name="Normal 6 2 2 3 2 3" xfId="799"/>
    <cellStyle name="Normal 6 2 2 3 2 3 2" xfId="1554"/>
    <cellStyle name="Normal 6 2 2 3 2 4" xfId="1551"/>
    <cellStyle name="Normal 6 2 2 3 3" xfId="548"/>
    <cellStyle name="Normal 6 2 2 3 3 2" xfId="689"/>
    <cellStyle name="Normal 6 2 2 3 3 2 2" xfId="1154"/>
    <cellStyle name="Normal 6 2 2 3 3 2 2 2" xfId="1557"/>
    <cellStyle name="Normal 6 2 2 3 3 2 3" xfId="1556"/>
    <cellStyle name="Normal 6 2 2 3 3 3" xfId="842"/>
    <cellStyle name="Normal 6 2 2 3 3 3 2" xfId="1558"/>
    <cellStyle name="Normal 6 2 2 3 3 4" xfId="1555"/>
    <cellStyle name="Normal 6 2 2 3 4" xfId="382"/>
    <cellStyle name="Normal 6 2 2 3 4 2" xfId="952"/>
    <cellStyle name="Normal 6 2 2 3 4 2 2" xfId="1560"/>
    <cellStyle name="Normal 6 2 2 3 4 3" xfId="1559"/>
    <cellStyle name="Normal 6 2 2 3 5" xfId="599"/>
    <cellStyle name="Normal 6 2 2 3 5 2" xfId="1065"/>
    <cellStyle name="Normal 6 2 2 3 5 2 2" xfId="1562"/>
    <cellStyle name="Normal 6 2 2 3 5 3" xfId="1561"/>
    <cellStyle name="Normal 6 2 2 3 6" xfId="266"/>
    <cellStyle name="Normal 6 2 2 3 6 2" xfId="894"/>
    <cellStyle name="Normal 6 2 2 3 6 2 2" xfId="1564"/>
    <cellStyle name="Normal 6 2 2 3 6 3" xfId="1563"/>
    <cellStyle name="Normal 6 2 2 3 7" xfId="748"/>
    <cellStyle name="Normal 6 2 2 3 7 2" xfId="1565"/>
    <cellStyle name="Normal 6 2 2 3 8" xfId="1215"/>
    <cellStyle name="Normal 6 2 2 4" xfId="483"/>
    <cellStyle name="Normal 6 2 2 4 2" xfId="644"/>
    <cellStyle name="Normal 6 2 2 4 2 2" xfId="1110"/>
    <cellStyle name="Normal 6 2 2 4 2 2 2" xfId="1568"/>
    <cellStyle name="Normal 6 2 2 4 2 3" xfId="1567"/>
    <cellStyle name="Normal 6 2 2 4 3" xfId="797"/>
    <cellStyle name="Normal 6 2 2 4 3 2" xfId="1569"/>
    <cellStyle name="Normal 6 2 2 4 4" xfId="1566"/>
    <cellStyle name="Normal 6 2 2 5" xfId="546"/>
    <cellStyle name="Normal 6 2 2 5 2" xfId="687"/>
    <cellStyle name="Normal 6 2 2 5 2 2" xfId="1152"/>
    <cellStyle name="Normal 6 2 2 5 2 2 2" xfId="1572"/>
    <cellStyle name="Normal 6 2 2 5 2 3" xfId="1571"/>
    <cellStyle name="Normal 6 2 2 5 3" xfId="840"/>
    <cellStyle name="Normal 6 2 2 5 3 2" xfId="1573"/>
    <cellStyle name="Normal 6 2 2 5 4" xfId="1570"/>
    <cellStyle name="Normal 6 2 2 6" xfId="380"/>
    <cellStyle name="Normal 6 2 2 6 2" xfId="950"/>
    <cellStyle name="Normal 6 2 2 6 2 2" xfId="1575"/>
    <cellStyle name="Normal 6 2 2 6 3" xfId="1574"/>
    <cellStyle name="Normal 6 2 2 7" xfId="597"/>
    <cellStyle name="Normal 6 2 2 7 2" xfId="1063"/>
    <cellStyle name="Normal 6 2 2 7 2 2" xfId="1577"/>
    <cellStyle name="Normal 6 2 2 7 3" xfId="1576"/>
    <cellStyle name="Normal 6 2 2 8" xfId="264"/>
    <cellStyle name="Normal 6 2 2 8 2" xfId="892"/>
    <cellStyle name="Normal 6 2 2 8 2 2" xfId="1579"/>
    <cellStyle name="Normal 6 2 2 8 3" xfId="1578"/>
    <cellStyle name="Normal 6 2 2 9" xfId="746"/>
    <cellStyle name="Normal 6 2 2 9 2" xfId="1580"/>
    <cellStyle name="Normal 6 2 3" xfId="130"/>
    <cellStyle name="Normal 6 2 3 2" xfId="486"/>
    <cellStyle name="Normal 6 2 3 2 2" xfId="647"/>
    <cellStyle name="Normal 6 2 3 2 2 2" xfId="1113"/>
    <cellStyle name="Normal 6 2 3 2 2 2 2" xfId="1583"/>
    <cellStyle name="Normal 6 2 3 2 2 3" xfId="1582"/>
    <cellStyle name="Normal 6 2 3 2 3" xfId="800"/>
    <cellStyle name="Normal 6 2 3 2 3 2" xfId="1584"/>
    <cellStyle name="Normal 6 2 3 2 4" xfId="1581"/>
    <cellStyle name="Normal 6 2 3 3" xfId="549"/>
    <cellStyle name="Normal 6 2 3 3 2" xfId="690"/>
    <cellStyle name="Normal 6 2 3 3 2 2" xfId="1155"/>
    <cellStyle name="Normal 6 2 3 3 2 2 2" xfId="1587"/>
    <cellStyle name="Normal 6 2 3 3 2 3" xfId="1586"/>
    <cellStyle name="Normal 6 2 3 3 3" xfId="843"/>
    <cellStyle name="Normal 6 2 3 3 3 2" xfId="1588"/>
    <cellStyle name="Normal 6 2 3 3 4" xfId="1585"/>
    <cellStyle name="Normal 6 2 3 4" xfId="383"/>
    <cellStyle name="Normal 6 2 3 4 2" xfId="953"/>
    <cellStyle name="Normal 6 2 3 4 2 2" xfId="1590"/>
    <cellStyle name="Normal 6 2 3 4 3" xfId="1589"/>
    <cellStyle name="Normal 6 2 3 5" xfId="600"/>
    <cellStyle name="Normal 6 2 3 5 2" xfId="1066"/>
    <cellStyle name="Normal 6 2 3 5 2 2" xfId="1592"/>
    <cellStyle name="Normal 6 2 3 5 3" xfId="1591"/>
    <cellStyle name="Normal 6 2 3 6" xfId="267"/>
    <cellStyle name="Normal 6 2 3 6 2" xfId="895"/>
    <cellStyle name="Normal 6 2 3 6 2 2" xfId="1594"/>
    <cellStyle name="Normal 6 2 3 6 3" xfId="1593"/>
    <cellStyle name="Normal 6 2 3 7" xfId="749"/>
    <cellStyle name="Normal 6 2 3 7 2" xfId="1595"/>
    <cellStyle name="Normal 6 2 3 8" xfId="1216"/>
    <cellStyle name="Normal 6 2 4" xfId="131"/>
    <cellStyle name="Normal 6 2 4 2" xfId="487"/>
    <cellStyle name="Normal 6 2 4 2 2" xfId="648"/>
    <cellStyle name="Normal 6 2 4 2 2 2" xfId="1114"/>
    <cellStyle name="Normal 6 2 4 2 2 2 2" xfId="1598"/>
    <cellStyle name="Normal 6 2 4 2 2 3" xfId="1597"/>
    <cellStyle name="Normal 6 2 4 2 3" xfId="801"/>
    <cellStyle name="Normal 6 2 4 2 3 2" xfId="1599"/>
    <cellStyle name="Normal 6 2 4 2 4" xfId="1596"/>
    <cellStyle name="Normal 6 2 4 3" xfId="550"/>
    <cellStyle name="Normal 6 2 4 3 2" xfId="691"/>
    <cellStyle name="Normal 6 2 4 3 2 2" xfId="1156"/>
    <cellStyle name="Normal 6 2 4 3 2 2 2" xfId="1602"/>
    <cellStyle name="Normal 6 2 4 3 2 3" xfId="1601"/>
    <cellStyle name="Normal 6 2 4 3 3" xfId="844"/>
    <cellStyle name="Normal 6 2 4 3 3 2" xfId="1603"/>
    <cellStyle name="Normal 6 2 4 3 4" xfId="1600"/>
    <cellStyle name="Normal 6 2 4 4" xfId="384"/>
    <cellStyle name="Normal 6 2 4 4 2" xfId="954"/>
    <cellStyle name="Normal 6 2 4 4 2 2" xfId="1605"/>
    <cellStyle name="Normal 6 2 4 4 3" xfId="1604"/>
    <cellStyle name="Normal 6 2 4 5" xfId="601"/>
    <cellStyle name="Normal 6 2 4 5 2" xfId="1067"/>
    <cellStyle name="Normal 6 2 4 5 2 2" xfId="1607"/>
    <cellStyle name="Normal 6 2 4 5 3" xfId="1606"/>
    <cellStyle name="Normal 6 2 4 6" xfId="268"/>
    <cellStyle name="Normal 6 2 4 6 2" xfId="896"/>
    <cellStyle name="Normal 6 2 4 6 2 2" xfId="1609"/>
    <cellStyle name="Normal 6 2 4 6 3" xfId="1608"/>
    <cellStyle name="Normal 6 2 4 7" xfId="750"/>
    <cellStyle name="Normal 6 2 4 7 2" xfId="1610"/>
    <cellStyle name="Normal 6 2 4 8" xfId="1217"/>
    <cellStyle name="Normal 6 2 5" xfId="482"/>
    <cellStyle name="Normal 6 2 5 2" xfId="643"/>
    <cellStyle name="Normal 6 2 5 2 2" xfId="1109"/>
    <cellStyle name="Normal 6 2 5 2 2 2" xfId="1613"/>
    <cellStyle name="Normal 6 2 5 2 3" xfId="1612"/>
    <cellStyle name="Normal 6 2 5 3" xfId="796"/>
    <cellStyle name="Normal 6 2 5 3 2" xfId="1614"/>
    <cellStyle name="Normal 6 2 5 4" xfId="1611"/>
    <cellStyle name="Normal 6 2 6" xfId="545"/>
    <cellStyle name="Normal 6 2 6 2" xfId="686"/>
    <cellStyle name="Normal 6 2 6 2 2" xfId="1151"/>
    <cellStyle name="Normal 6 2 6 2 2 2" xfId="1617"/>
    <cellStyle name="Normal 6 2 6 2 3" xfId="1616"/>
    <cellStyle name="Normal 6 2 6 3" xfId="839"/>
    <cellStyle name="Normal 6 2 6 3 2" xfId="1618"/>
    <cellStyle name="Normal 6 2 6 4" xfId="1615"/>
    <cellStyle name="Normal 6 2 7" xfId="379"/>
    <cellStyle name="Normal 6 2 7 2" xfId="949"/>
    <cellStyle name="Normal 6 2 7 2 2" xfId="1620"/>
    <cellStyle name="Normal 6 2 7 3" xfId="1619"/>
    <cellStyle name="Normal 6 2 8" xfId="596"/>
    <cellStyle name="Normal 6 2 8 2" xfId="1062"/>
    <cellStyle name="Normal 6 2 8 2 2" xfId="1622"/>
    <cellStyle name="Normal 6 2 8 3" xfId="1621"/>
    <cellStyle name="Normal 6 2 9" xfId="263"/>
    <cellStyle name="Normal 6 2 9 2" xfId="891"/>
    <cellStyle name="Normal 6 2 9 2 2" xfId="1624"/>
    <cellStyle name="Normal 6 2 9 3" xfId="1623"/>
    <cellStyle name="Normal 6 3" xfId="132"/>
    <cellStyle name="Normal 6 3 10" xfId="1218"/>
    <cellStyle name="Normal 6 3 2" xfId="133"/>
    <cellStyle name="Normal 6 3 2 2" xfId="489"/>
    <cellStyle name="Normal 6 3 2 2 2" xfId="650"/>
    <cellStyle name="Normal 6 3 2 2 2 2" xfId="1116"/>
    <cellStyle name="Normal 6 3 2 2 2 2 2" xfId="1627"/>
    <cellStyle name="Normal 6 3 2 2 2 3" xfId="1626"/>
    <cellStyle name="Normal 6 3 2 2 3" xfId="803"/>
    <cellStyle name="Normal 6 3 2 2 3 2" xfId="1628"/>
    <cellStyle name="Normal 6 3 2 2 4" xfId="1625"/>
    <cellStyle name="Normal 6 3 2 3" xfId="552"/>
    <cellStyle name="Normal 6 3 2 3 2" xfId="693"/>
    <cellStyle name="Normal 6 3 2 3 2 2" xfId="1158"/>
    <cellStyle name="Normal 6 3 2 3 2 2 2" xfId="1631"/>
    <cellStyle name="Normal 6 3 2 3 2 3" xfId="1630"/>
    <cellStyle name="Normal 6 3 2 3 3" xfId="846"/>
    <cellStyle name="Normal 6 3 2 3 3 2" xfId="1632"/>
    <cellStyle name="Normal 6 3 2 3 4" xfId="1629"/>
    <cellStyle name="Normal 6 3 2 4" xfId="386"/>
    <cellStyle name="Normal 6 3 2 4 2" xfId="956"/>
    <cellStyle name="Normal 6 3 2 4 2 2" xfId="1634"/>
    <cellStyle name="Normal 6 3 2 4 3" xfId="1633"/>
    <cellStyle name="Normal 6 3 2 5" xfId="603"/>
    <cellStyle name="Normal 6 3 2 5 2" xfId="1069"/>
    <cellStyle name="Normal 6 3 2 5 2 2" xfId="1636"/>
    <cellStyle name="Normal 6 3 2 5 3" xfId="1635"/>
    <cellStyle name="Normal 6 3 2 6" xfId="270"/>
    <cellStyle name="Normal 6 3 2 6 2" xfId="898"/>
    <cellStyle name="Normal 6 3 2 6 2 2" xfId="1638"/>
    <cellStyle name="Normal 6 3 2 6 3" xfId="1637"/>
    <cellStyle name="Normal 6 3 2 7" xfId="752"/>
    <cellStyle name="Normal 6 3 2 7 2" xfId="1639"/>
    <cellStyle name="Normal 6 3 2 8" xfId="1219"/>
    <cellStyle name="Normal 6 3 3" xfId="134"/>
    <cellStyle name="Normal 6 3 3 2" xfId="490"/>
    <cellStyle name="Normal 6 3 3 2 2" xfId="651"/>
    <cellStyle name="Normal 6 3 3 2 2 2" xfId="1117"/>
    <cellStyle name="Normal 6 3 3 2 2 2 2" xfId="1642"/>
    <cellStyle name="Normal 6 3 3 2 2 3" xfId="1641"/>
    <cellStyle name="Normal 6 3 3 2 3" xfId="804"/>
    <cellStyle name="Normal 6 3 3 2 3 2" xfId="1643"/>
    <cellStyle name="Normal 6 3 3 2 4" xfId="1640"/>
    <cellStyle name="Normal 6 3 3 3" xfId="553"/>
    <cellStyle name="Normal 6 3 3 3 2" xfId="694"/>
    <cellStyle name="Normal 6 3 3 3 2 2" xfId="1159"/>
    <cellStyle name="Normal 6 3 3 3 2 2 2" xfId="1646"/>
    <cellStyle name="Normal 6 3 3 3 2 3" xfId="1645"/>
    <cellStyle name="Normal 6 3 3 3 3" xfId="847"/>
    <cellStyle name="Normal 6 3 3 3 3 2" xfId="1647"/>
    <cellStyle name="Normal 6 3 3 3 4" xfId="1644"/>
    <cellStyle name="Normal 6 3 3 4" xfId="387"/>
    <cellStyle name="Normal 6 3 3 4 2" xfId="957"/>
    <cellStyle name="Normal 6 3 3 4 2 2" xfId="1649"/>
    <cellStyle name="Normal 6 3 3 4 3" xfId="1648"/>
    <cellStyle name="Normal 6 3 3 5" xfId="604"/>
    <cellStyle name="Normal 6 3 3 5 2" xfId="1070"/>
    <cellStyle name="Normal 6 3 3 5 2 2" xfId="1651"/>
    <cellStyle name="Normal 6 3 3 5 3" xfId="1650"/>
    <cellStyle name="Normal 6 3 3 6" xfId="271"/>
    <cellStyle name="Normal 6 3 3 6 2" xfId="899"/>
    <cellStyle name="Normal 6 3 3 6 2 2" xfId="1653"/>
    <cellStyle name="Normal 6 3 3 6 3" xfId="1652"/>
    <cellStyle name="Normal 6 3 3 7" xfId="753"/>
    <cellStyle name="Normal 6 3 3 7 2" xfId="1654"/>
    <cellStyle name="Normal 6 3 3 8" xfId="1220"/>
    <cellStyle name="Normal 6 3 4" xfId="488"/>
    <cellStyle name="Normal 6 3 4 2" xfId="649"/>
    <cellStyle name="Normal 6 3 4 2 2" xfId="1115"/>
    <cellStyle name="Normal 6 3 4 2 2 2" xfId="1657"/>
    <cellStyle name="Normal 6 3 4 2 3" xfId="1656"/>
    <cellStyle name="Normal 6 3 4 3" xfId="802"/>
    <cellStyle name="Normal 6 3 4 3 2" xfId="1658"/>
    <cellStyle name="Normal 6 3 4 4" xfId="1655"/>
    <cellStyle name="Normal 6 3 5" xfId="551"/>
    <cellStyle name="Normal 6 3 5 2" xfId="692"/>
    <cellStyle name="Normal 6 3 5 2 2" xfId="1157"/>
    <cellStyle name="Normal 6 3 5 2 2 2" xfId="1661"/>
    <cellStyle name="Normal 6 3 5 2 3" xfId="1660"/>
    <cellStyle name="Normal 6 3 5 3" xfId="845"/>
    <cellStyle name="Normal 6 3 5 3 2" xfId="1662"/>
    <cellStyle name="Normal 6 3 5 4" xfId="1659"/>
    <cellStyle name="Normal 6 3 6" xfId="385"/>
    <cellStyle name="Normal 6 3 6 2" xfId="955"/>
    <cellStyle name="Normal 6 3 6 2 2" xfId="1664"/>
    <cellStyle name="Normal 6 3 6 3" xfId="1663"/>
    <cellStyle name="Normal 6 3 7" xfId="602"/>
    <cellStyle name="Normal 6 3 7 2" xfId="1068"/>
    <cellStyle name="Normal 6 3 7 2 2" xfId="1666"/>
    <cellStyle name="Normal 6 3 7 3" xfId="1665"/>
    <cellStyle name="Normal 6 3 8" xfId="269"/>
    <cellStyle name="Normal 6 3 8 2" xfId="897"/>
    <cellStyle name="Normal 6 3 8 2 2" xfId="1668"/>
    <cellStyle name="Normal 6 3 8 3" xfId="1667"/>
    <cellStyle name="Normal 6 3 9" xfId="751"/>
    <cellStyle name="Normal 6 3 9 2" xfId="1669"/>
    <cellStyle name="Normal 6 4" xfId="135"/>
    <cellStyle name="Normal 6 4 2" xfId="491"/>
    <cellStyle name="Normal 6 4 2 2" xfId="652"/>
    <cellStyle name="Normal 6 4 2 2 2" xfId="1118"/>
    <cellStyle name="Normal 6 4 2 2 2 2" xfId="1672"/>
    <cellStyle name="Normal 6 4 2 2 3" xfId="1671"/>
    <cellStyle name="Normal 6 4 2 3" xfId="805"/>
    <cellStyle name="Normal 6 4 2 3 2" xfId="1673"/>
    <cellStyle name="Normal 6 4 2 4" xfId="1670"/>
    <cellStyle name="Normal 6 4 3" xfId="554"/>
    <cellStyle name="Normal 6 4 3 2" xfId="695"/>
    <cellStyle name="Normal 6 4 3 2 2" xfId="1160"/>
    <cellStyle name="Normal 6 4 3 2 2 2" xfId="1676"/>
    <cellStyle name="Normal 6 4 3 2 3" xfId="1675"/>
    <cellStyle name="Normal 6 4 3 3" xfId="848"/>
    <cellStyle name="Normal 6 4 3 3 2" xfId="1677"/>
    <cellStyle name="Normal 6 4 3 4" xfId="1674"/>
    <cellStyle name="Normal 6 4 4" xfId="388"/>
    <cellStyle name="Normal 6 4 4 2" xfId="958"/>
    <cellStyle name="Normal 6 4 4 2 2" xfId="1679"/>
    <cellStyle name="Normal 6 4 4 3" xfId="1678"/>
    <cellStyle name="Normal 6 4 5" xfId="605"/>
    <cellStyle name="Normal 6 4 5 2" xfId="1071"/>
    <cellStyle name="Normal 6 4 5 2 2" xfId="1681"/>
    <cellStyle name="Normal 6 4 5 3" xfId="1680"/>
    <cellStyle name="Normal 6 4 6" xfId="272"/>
    <cellStyle name="Normal 6 4 6 2" xfId="900"/>
    <cellStyle name="Normal 6 4 6 2 2" xfId="1683"/>
    <cellStyle name="Normal 6 4 6 3" xfId="1682"/>
    <cellStyle name="Normal 6 4 7" xfId="754"/>
    <cellStyle name="Normal 6 4 7 2" xfId="1684"/>
    <cellStyle name="Normal 6 4 8" xfId="1221"/>
    <cellStyle name="Normal 6 5" xfId="136"/>
    <cellStyle name="Normal 6 5 2" xfId="492"/>
    <cellStyle name="Normal 6 5 2 2" xfId="653"/>
    <cellStyle name="Normal 6 5 2 2 2" xfId="1119"/>
    <cellStyle name="Normal 6 5 2 2 2 2" xfId="1687"/>
    <cellStyle name="Normal 6 5 2 2 3" xfId="1686"/>
    <cellStyle name="Normal 6 5 2 3" xfId="806"/>
    <cellStyle name="Normal 6 5 2 3 2" xfId="1688"/>
    <cellStyle name="Normal 6 5 2 4" xfId="1685"/>
    <cellStyle name="Normal 6 5 3" xfId="555"/>
    <cellStyle name="Normal 6 5 3 2" xfId="696"/>
    <cellStyle name="Normal 6 5 3 2 2" xfId="1161"/>
    <cellStyle name="Normal 6 5 3 2 2 2" xfId="1691"/>
    <cellStyle name="Normal 6 5 3 2 3" xfId="1690"/>
    <cellStyle name="Normal 6 5 3 3" xfId="849"/>
    <cellStyle name="Normal 6 5 3 3 2" xfId="1692"/>
    <cellStyle name="Normal 6 5 3 4" xfId="1689"/>
    <cellStyle name="Normal 6 5 4" xfId="389"/>
    <cellStyle name="Normal 6 5 4 2" xfId="959"/>
    <cellStyle name="Normal 6 5 4 2 2" xfId="1694"/>
    <cellStyle name="Normal 6 5 4 3" xfId="1693"/>
    <cellStyle name="Normal 6 5 5" xfId="606"/>
    <cellStyle name="Normal 6 5 5 2" xfId="1072"/>
    <cellStyle name="Normal 6 5 5 2 2" xfId="1696"/>
    <cellStyle name="Normal 6 5 5 3" xfId="1695"/>
    <cellStyle name="Normal 6 5 6" xfId="273"/>
    <cellStyle name="Normal 6 5 6 2" xfId="901"/>
    <cellStyle name="Normal 6 5 6 2 2" xfId="1698"/>
    <cellStyle name="Normal 6 5 6 3" xfId="1697"/>
    <cellStyle name="Normal 6 5 7" xfId="755"/>
    <cellStyle name="Normal 6 5 7 2" xfId="1699"/>
    <cellStyle name="Normal 6 5 8" xfId="1222"/>
    <cellStyle name="Normal 6 6" xfId="481"/>
    <cellStyle name="Normal 6 6 2" xfId="642"/>
    <cellStyle name="Normal 6 6 2 2" xfId="1108"/>
    <cellStyle name="Normal 6 6 2 2 2" xfId="1702"/>
    <cellStyle name="Normal 6 6 2 3" xfId="1701"/>
    <cellStyle name="Normal 6 6 3" xfId="795"/>
    <cellStyle name="Normal 6 6 3 2" xfId="1703"/>
    <cellStyle name="Normal 6 6 4" xfId="1700"/>
    <cellStyle name="Normal 6 7" xfId="526"/>
    <cellStyle name="Normal 6 7 2" xfId="668"/>
    <cellStyle name="Normal 6 7 2 2" xfId="1133"/>
    <cellStyle name="Normal 6 7 2 2 2" xfId="1706"/>
    <cellStyle name="Normal 6 7 2 3" xfId="1705"/>
    <cellStyle name="Normal 6 7 3" xfId="821"/>
    <cellStyle name="Normal 6 7 3 2" xfId="1707"/>
    <cellStyle name="Normal 6 7 4" xfId="1704"/>
    <cellStyle name="Normal 6 8" xfId="307"/>
    <cellStyle name="Normal 6 8 2" xfId="930"/>
    <cellStyle name="Normal 6 8 2 2" xfId="1709"/>
    <cellStyle name="Normal 6 8 3" xfId="1708"/>
    <cellStyle name="Normal 6 9" xfId="577"/>
    <cellStyle name="Normal 6 9 2" xfId="1043"/>
    <cellStyle name="Normal 6 9 2 2" xfId="1711"/>
    <cellStyle name="Normal 6 9 3" xfId="1710"/>
    <cellStyle name="Normal 60" xfId="71"/>
    <cellStyle name="Normal 60 2" xfId="493"/>
    <cellStyle name="Normal 60 2 2" xfId="1022"/>
    <cellStyle name="Normal 60 3" xfId="352"/>
    <cellStyle name="Normal 60 4" xfId="236"/>
    <cellStyle name="Normal 61" xfId="72"/>
    <cellStyle name="Normal 61 2" xfId="494"/>
    <cellStyle name="Normal 61 2 2" xfId="1023"/>
    <cellStyle name="Normal 61 3" xfId="353"/>
    <cellStyle name="Normal 61 4" xfId="237"/>
    <cellStyle name="Normal 62" xfId="73"/>
    <cellStyle name="Normal 62 2" xfId="495"/>
    <cellStyle name="Normal 62 2 2" xfId="1024"/>
    <cellStyle name="Normal 62 3" xfId="354"/>
    <cellStyle name="Normal 62 4" xfId="238"/>
    <cellStyle name="Normal 63" xfId="75"/>
    <cellStyle name="Normal 63 2" xfId="496"/>
    <cellStyle name="Normal 63 2 2" xfId="1025"/>
    <cellStyle name="Normal 63 3" xfId="356"/>
    <cellStyle name="Normal 63 4" xfId="240"/>
    <cellStyle name="Normal 64" xfId="182"/>
    <cellStyle name="Normal 64 2" xfId="183"/>
    <cellStyle name="Normal 64 2 2" xfId="923"/>
    <cellStyle name="Normal 64 3" xfId="413"/>
    <cellStyle name="Normal 64 3 2" xfId="973"/>
    <cellStyle name="Normal 64 3 2 2" xfId="1713"/>
    <cellStyle name="Normal 64 3 3" xfId="1712"/>
    <cellStyle name="Normal 64 4" xfId="620"/>
    <cellStyle name="Normal 64 4 2" xfId="1086"/>
    <cellStyle name="Normal 64 4 2 2" xfId="1715"/>
    <cellStyle name="Normal 64 4 3" xfId="1714"/>
    <cellStyle name="Normal 64 5" xfId="297"/>
    <cellStyle name="Normal 64 5 2" xfId="922"/>
    <cellStyle name="Normal 64 5 2 2" xfId="1717"/>
    <cellStyle name="Normal 64 5 3" xfId="1716"/>
    <cellStyle name="Normal 64 6" xfId="771"/>
    <cellStyle name="Normal 64 6 2" xfId="1718"/>
    <cellStyle name="Normal 64 7" xfId="1236"/>
    <cellStyle name="Normal 65" xfId="184"/>
    <cellStyle name="Normal 65 2" xfId="571"/>
    <cellStyle name="Normal 65 2 2" xfId="712"/>
    <cellStyle name="Normal 65 2 2 2" xfId="1177"/>
    <cellStyle name="Normal 65 2 2 2 2" xfId="1721"/>
    <cellStyle name="Normal 65 2 2 3" xfId="1720"/>
    <cellStyle name="Normal 65 2 3" xfId="865"/>
    <cellStyle name="Normal 65 2 3 2" xfId="1722"/>
    <cellStyle name="Normal 65 2 4" xfId="1719"/>
    <cellStyle name="Normal 65 3" xfId="924"/>
    <cellStyle name="Normal 66" xfId="298"/>
    <cellStyle name="Normal 66 2" xfId="523"/>
    <cellStyle name="Normal 66 3" xfId="415"/>
    <cellStyle name="Normal 66 3 2" xfId="975"/>
    <cellStyle name="Normal 66 3 2 2" xfId="1724"/>
    <cellStyle name="Normal 66 3 3" xfId="1723"/>
    <cellStyle name="Normal 66 4" xfId="622"/>
    <cellStyle name="Normal 66 4 2" xfId="1088"/>
    <cellStyle name="Normal 66 4 2 2" xfId="1726"/>
    <cellStyle name="Normal 66 4 3" xfId="1725"/>
    <cellStyle name="Normal 66 5" xfId="773"/>
    <cellStyle name="Normal 66 5 2" xfId="1727"/>
    <cellStyle name="Normal 67" xfId="416"/>
    <cellStyle name="Normal 67 2" xfId="623"/>
    <cellStyle name="Normal 67 2 2" xfId="1089"/>
    <cellStyle name="Normal 67 2 2 2" xfId="1730"/>
    <cellStyle name="Normal 67 2 3" xfId="1729"/>
    <cellStyle name="Normal 67 3" xfId="774"/>
    <cellStyle name="Normal 67 3 2" xfId="1731"/>
    <cellStyle name="Normal 67 4" xfId="1728"/>
    <cellStyle name="Normal 68" xfId="538"/>
    <cellStyle name="Normal 69" xfId="305"/>
    <cellStyle name="Normal 7" xfId="15"/>
    <cellStyle name="Normal 7 2" xfId="137"/>
    <cellStyle name="Normal 7 2 2" xfId="498"/>
    <cellStyle name="Normal 7 2 2 2" xfId="1027"/>
    <cellStyle name="Normal 7 2 3" xfId="390"/>
    <cellStyle name="Normal 7 2 4" xfId="274"/>
    <cellStyle name="Normal 7 3" xfId="497"/>
    <cellStyle name="Normal 7 3 2" xfId="1026"/>
    <cellStyle name="Normal 7 4" xfId="308"/>
    <cellStyle name="Normal 7 5" xfId="192"/>
    <cellStyle name="Normal 70" xfId="409"/>
    <cellStyle name="Normal 71" xfId="572"/>
    <cellStyle name="Normal 72" xfId="573"/>
    <cellStyle name="Normal 73" xfId="306"/>
    <cellStyle name="Normal 74" xfId="575"/>
    <cellStyle name="Normal 75" xfId="574"/>
    <cellStyle name="Normal 76" xfId="576"/>
    <cellStyle name="Normal 77" xfId="656"/>
    <cellStyle name="Normal 78" xfId="713"/>
    <cellStyle name="Normal 79" xfId="714"/>
    <cellStyle name="Normal 8" xfId="138"/>
    <cellStyle name="Normal 8 2" xfId="139"/>
    <cellStyle name="Normal 8 2 2" xfId="500"/>
    <cellStyle name="Normal 8 2 2 2" xfId="1029"/>
    <cellStyle name="Normal 8 2 3" xfId="392"/>
    <cellStyle name="Normal 8 2 4" xfId="276"/>
    <cellStyle name="Normal 8 3" xfId="499"/>
    <cellStyle name="Normal 8 3 2" xfId="1028"/>
    <cellStyle name="Normal 8 4" xfId="391"/>
    <cellStyle name="Normal 8 5" xfId="275"/>
    <cellStyle name="Normal 80" xfId="190"/>
    <cellStyle name="Normal 81" xfId="293"/>
    <cellStyle name="Normal 82" xfId="721"/>
    <cellStyle name="Normal 83" xfId="722"/>
    <cellStyle name="Normal 84" xfId="720"/>
    <cellStyle name="Normal 85" xfId="719"/>
    <cellStyle name="Normal 86" xfId="718"/>
    <cellStyle name="Normal 87" xfId="723"/>
    <cellStyle name="Normal 88" xfId="1185"/>
    <cellStyle name="Normal 89" xfId="1186"/>
    <cellStyle name="Normal 9" xfId="16"/>
    <cellStyle name="Normal 9 2" xfId="501"/>
    <cellStyle name="Normal 9 2 2" xfId="1030"/>
    <cellStyle name="Normal 9 3" xfId="309"/>
    <cellStyle name="Normal 9 4" xfId="193"/>
    <cellStyle name="Normal 90" xfId="1184"/>
    <cellStyle name="Normal 91" xfId="902"/>
    <cellStyle name="Normal 92" xfId="1183"/>
    <cellStyle name="Normal 93" xfId="1181"/>
    <cellStyle name="Normal 94" xfId="878"/>
    <cellStyle name="Normal 95" xfId="1190"/>
    <cellStyle name="Normal 96" xfId="1182"/>
    <cellStyle name="Normal 97" xfId="1188"/>
    <cellStyle name="Normal 98" xfId="1187"/>
    <cellStyle name="Normal 99" xfId="1191"/>
    <cellStyle name="Normal_Plan1" xfId="1957"/>
    <cellStyle name="Normal1" xfId="140"/>
    <cellStyle name="Normal2" xfId="141"/>
    <cellStyle name="Normal3" xfId="142"/>
    <cellStyle name="Percent [2]" xfId="143"/>
    <cellStyle name="Percent [2] 2" xfId="502"/>
    <cellStyle name="Percent [2] 2 2" xfId="1031"/>
    <cellStyle name="Percent [2] 3" xfId="393"/>
    <cellStyle name="Percent [2] 4" xfId="277"/>
    <cellStyle name="Percent_Sheet1" xfId="144"/>
    <cellStyle name="Percentual" xfId="145"/>
    <cellStyle name="Ponto" xfId="146"/>
    <cellStyle name="Porcentagem" xfId="1956" builtinId="5"/>
    <cellStyle name="Porcentagem 2" xfId="17"/>
    <cellStyle name="Porcentagem 2 2" xfId="179"/>
    <cellStyle name="Porcentagem 2 2 2" xfId="919"/>
    <cellStyle name="Porcentagem 2 3" xfId="868"/>
    <cellStyle name="Porcentagem 3" xfId="18"/>
    <cellStyle name="Porcentagem 3 2" xfId="147"/>
    <cellStyle name="Porcentagem 3 3" xfId="503"/>
    <cellStyle name="Porcentagem 4" xfId="19"/>
    <cellStyle name="Porcentagem 4 2" xfId="20"/>
    <cellStyle name="Porcentagem 4 2 2" xfId="177"/>
    <cellStyle name="Porcentagem 4 2 2 2" xfId="917"/>
    <cellStyle name="Porcentagem 4 2 3" xfId="784"/>
    <cellStyle name="Porcentagem 5" xfId="148"/>
    <cellStyle name="Porcentagem 6" xfId="149"/>
    <cellStyle name="Porcentagem 6 2" xfId="150"/>
    <cellStyle name="Porcentagem 6 2 2" xfId="505"/>
    <cellStyle name="Porcentagem 6 2 2 2" xfId="655"/>
    <cellStyle name="Porcentagem 6 2 2 2 2" xfId="1121"/>
    <cellStyle name="Porcentagem 6 2 2 2 2 2" xfId="1734"/>
    <cellStyle name="Porcentagem 6 2 2 2 3" xfId="1733"/>
    <cellStyle name="Porcentagem 6 2 2 3" xfId="808"/>
    <cellStyle name="Porcentagem 6 2 2 3 2" xfId="1735"/>
    <cellStyle name="Porcentagem 6 2 2 4" xfId="1732"/>
    <cellStyle name="Porcentagem 6 2 3" xfId="557"/>
    <cellStyle name="Porcentagem 6 2 3 2" xfId="698"/>
    <cellStyle name="Porcentagem 6 2 3 2 2" xfId="1163"/>
    <cellStyle name="Porcentagem 6 2 3 2 2 2" xfId="1738"/>
    <cellStyle name="Porcentagem 6 2 3 2 3" xfId="1737"/>
    <cellStyle name="Porcentagem 6 2 3 3" xfId="851"/>
    <cellStyle name="Porcentagem 6 2 3 3 2" xfId="1739"/>
    <cellStyle name="Porcentagem 6 2 3 4" xfId="1736"/>
    <cellStyle name="Porcentagem 6 2 4" xfId="395"/>
    <cellStyle name="Porcentagem 6 2 4 2" xfId="961"/>
    <cellStyle name="Porcentagem 6 2 4 2 2" xfId="1741"/>
    <cellStyle name="Porcentagem 6 2 4 3" xfId="1740"/>
    <cellStyle name="Porcentagem 6 2 5" xfId="608"/>
    <cellStyle name="Porcentagem 6 2 5 2" xfId="1074"/>
    <cellStyle name="Porcentagem 6 2 5 2 2" xfId="1743"/>
    <cellStyle name="Porcentagem 6 2 5 3" xfId="1742"/>
    <cellStyle name="Porcentagem 6 2 6" xfId="279"/>
    <cellStyle name="Porcentagem 6 2 6 2" xfId="904"/>
    <cellStyle name="Porcentagem 6 2 6 2 2" xfId="1745"/>
    <cellStyle name="Porcentagem 6 2 6 3" xfId="1744"/>
    <cellStyle name="Porcentagem 6 2 7" xfId="757"/>
    <cellStyle name="Porcentagem 6 2 7 2" xfId="1746"/>
    <cellStyle name="Porcentagem 6 2 8" xfId="1224"/>
    <cellStyle name="Porcentagem 6 3" xfId="504"/>
    <cellStyle name="Porcentagem 6 3 2" xfId="654"/>
    <cellStyle name="Porcentagem 6 3 2 2" xfId="1120"/>
    <cellStyle name="Porcentagem 6 3 2 2 2" xfId="1749"/>
    <cellStyle name="Porcentagem 6 3 2 3" xfId="1748"/>
    <cellStyle name="Porcentagem 6 3 3" xfId="807"/>
    <cellStyle name="Porcentagem 6 3 3 2" xfId="1750"/>
    <cellStyle name="Porcentagem 6 3 4" xfId="1747"/>
    <cellStyle name="Porcentagem 6 4" xfId="556"/>
    <cellStyle name="Porcentagem 6 4 2" xfId="697"/>
    <cellStyle name="Porcentagem 6 4 2 2" xfId="1162"/>
    <cellStyle name="Porcentagem 6 4 2 2 2" xfId="1753"/>
    <cellStyle name="Porcentagem 6 4 2 3" xfId="1752"/>
    <cellStyle name="Porcentagem 6 4 3" xfId="850"/>
    <cellStyle name="Porcentagem 6 4 3 2" xfId="1754"/>
    <cellStyle name="Porcentagem 6 4 4" xfId="1751"/>
    <cellStyle name="Porcentagem 6 5" xfId="394"/>
    <cellStyle name="Porcentagem 6 5 2" xfId="960"/>
    <cellStyle name="Porcentagem 6 5 2 2" xfId="1756"/>
    <cellStyle name="Porcentagem 6 5 3" xfId="1755"/>
    <cellStyle name="Porcentagem 6 6" xfId="607"/>
    <cellStyle name="Porcentagem 6 6 2" xfId="1073"/>
    <cellStyle name="Porcentagem 6 6 2 2" xfId="1758"/>
    <cellStyle name="Porcentagem 6 6 3" xfId="1757"/>
    <cellStyle name="Porcentagem 6 7" xfId="278"/>
    <cellStyle name="Porcentagem 6 7 2" xfId="903"/>
    <cellStyle name="Porcentagem 6 7 2 2" xfId="1760"/>
    <cellStyle name="Porcentagem 6 7 3" xfId="1759"/>
    <cellStyle name="Porcentagem 6 8" xfId="756"/>
    <cellStyle name="Porcentagem 6 8 2" xfId="1761"/>
    <cellStyle name="Porcentagem 6 9" xfId="1223"/>
    <cellStyle name="Porcentagem 7" xfId="185"/>
    <cellStyle name="Porcentagem 7 2" xfId="925"/>
    <cellStyle name="Result" xfId="21"/>
    <cellStyle name="Result2" xfId="22"/>
    <cellStyle name="Sep. milhar [0]" xfId="151"/>
    <cellStyle name="Separador de m" xfId="152"/>
    <cellStyle name="Separador de milhares" xfId="25" builtinId="3"/>
    <cellStyle name="Separador de milhares 2" xfId="23"/>
    <cellStyle name="Separador de milhares 2 2" xfId="153"/>
    <cellStyle name="Separador de milhares 2 2 2" xfId="507"/>
    <cellStyle name="Separador de milhares 2 2 2 2" xfId="1033"/>
    <cellStyle name="Separador de milhares 2 2 3" xfId="396"/>
    <cellStyle name="Separador de milhares 2 2 4" xfId="280"/>
    <cellStyle name="Separador de milhares 2 3" xfId="506"/>
    <cellStyle name="Separador de milhares 2 3 2" xfId="1032"/>
    <cellStyle name="Separador de milhares 2 4" xfId="310"/>
    <cellStyle name="Separador de milhares 2 5" xfId="194"/>
    <cellStyle name="Separador de milhares 3" xfId="154"/>
    <cellStyle name="Separador de milhares 4" xfId="24"/>
    <cellStyle name="Sepavador de milhares [0]_Pasta2" xfId="155"/>
    <cellStyle name="Standard_RP100_01 (metr.)" xfId="156"/>
    <cellStyle name="Titulo1" xfId="157"/>
    <cellStyle name="Titulo2" xfId="158"/>
    <cellStyle name="Vírgula 10" xfId="159"/>
    <cellStyle name="Vírgula 10 2" xfId="160"/>
    <cellStyle name="Vírgula 10 2 2" xfId="509"/>
    <cellStyle name="Vírgula 10 2 2 2" xfId="658"/>
    <cellStyle name="Vírgula 10 2 2 2 2" xfId="1123"/>
    <cellStyle name="Vírgula 10 2 2 2 2 2" xfId="1764"/>
    <cellStyle name="Vírgula 10 2 2 2 3" xfId="1763"/>
    <cellStyle name="Vírgula 10 2 2 3" xfId="810"/>
    <cellStyle name="Vírgula 10 2 2 3 2" xfId="1765"/>
    <cellStyle name="Vírgula 10 2 2 4" xfId="1762"/>
    <cellStyle name="Vírgula 10 2 3" xfId="559"/>
    <cellStyle name="Vírgula 10 2 3 2" xfId="700"/>
    <cellStyle name="Vírgula 10 2 3 2 2" xfId="1165"/>
    <cellStyle name="Vírgula 10 2 3 2 2 2" xfId="1768"/>
    <cellStyle name="Vírgula 10 2 3 2 3" xfId="1767"/>
    <cellStyle name="Vírgula 10 2 3 3" xfId="853"/>
    <cellStyle name="Vírgula 10 2 3 3 2" xfId="1769"/>
    <cellStyle name="Vírgula 10 2 3 4" xfId="1766"/>
    <cellStyle name="Vírgula 10 2 4" xfId="398"/>
    <cellStyle name="Vírgula 10 2 4 2" xfId="963"/>
    <cellStyle name="Vírgula 10 2 4 2 2" xfId="1771"/>
    <cellStyle name="Vírgula 10 2 4 3" xfId="1770"/>
    <cellStyle name="Vírgula 10 2 5" xfId="610"/>
    <cellStyle name="Vírgula 10 2 5 2" xfId="1076"/>
    <cellStyle name="Vírgula 10 2 5 2 2" xfId="1773"/>
    <cellStyle name="Vírgula 10 2 5 3" xfId="1772"/>
    <cellStyle name="Vírgula 10 2 6" xfId="282"/>
    <cellStyle name="Vírgula 10 2 6 2" xfId="906"/>
    <cellStyle name="Vírgula 10 2 6 2 2" xfId="1775"/>
    <cellStyle name="Vírgula 10 2 6 3" xfId="1774"/>
    <cellStyle name="Vírgula 10 2 7" xfId="760"/>
    <cellStyle name="Vírgula 10 2 7 2" xfId="1776"/>
    <cellStyle name="Vírgula 10 2 8" xfId="1226"/>
    <cellStyle name="Vírgula 10 3" xfId="508"/>
    <cellStyle name="Vírgula 10 3 2" xfId="657"/>
    <cellStyle name="Vírgula 10 3 2 2" xfId="1122"/>
    <cellStyle name="Vírgula 10 3 2 2 2" xfId="1779"/>
    <cellStyle name="Vírgula 10 3 2 3" xfId="1778"/>
    <cellStyle name="Vírgula 10 3 3" xfId="809"/>
    <cellStyle name="Vírgula 10 3 3 2" xfId="1780"/>
    <cellStyle name="Vírgula 10 3 4" xfId="1777"/>
    <cellStyle name="Vírgula 10 4" xfId="558"/>
    <cellStyle name="Vírgula 10 4 2" xfId="699"/>
    <cellStyle name="Vírgula 10 4 2 2" xfId="1164"/>
    <cellStyle name="Vírgula 10 4 2 2 2" xfId="1783"/>
    <cellStyle name="Vírgula 10 4 2 3" xfId="1782"/>
    <cellStyle name="Vírgula 10 4 3" xfId="852"/>
    <cellStyle name="Vírgula 10 4 3 2" xfId="1784"/>
    <cellStyle name="Vírgula 10 4 4" xfId="1781"/>
    <cellStyle name="Vírgula 10 5" xfId="397"/>
    <cellStyle name="Vírgula 10 5 2" xfId="962"/>
    <cellStyle name="Vírgula 10 5 2 2" xfId="1786"/>
    <cellStyle name="Vírgula 10 5 3" xfId="1785"/>
    <cellStyle name="Vírgula 10 6" xfId="609"/>
    <cellStyle name="Vírgula 10 6 2" xfId="1075"/>
    <cellStyle name="Vírgula 10 6 2 2" xfId="1788"/>
    <cellStyle name="Vírgula 10 6 3" xfId="1787"/>
    <cellStyle name="Vírgula 10 7" xfId="281"/>
    <cellStyle name="Vírgula 10 7 2" xfId="905"/>
    <cellStyle name="Vírgula 10 7 2 2" xfId="1790"/>
    <cellStyle name="Vírgula 10 7 3" xfId="1789"/>
    <cellStyle name="Vírgula 10 8" xfId="759"/>
    <cellStyle name="Vírgula 10 8 2" xfId="1791"/>
    <cellStyle name="Vírgula 10 9" xfId="1225"/>
    <cellStyle name="Vírgula 11" xfId="161"/>
    <cellStyle name="Vírgula 11 2" xfId="510"/>
    <cellStyle name="Vírgula 11 2 2" xfId="1034"/>
    <cellStyle name="Vírgula 11 3" xfId="399"/>
    <cellStyle name="Vírgula 11 4" xfId="283"/>
    <cellStyle name="Vírgula 12" xfId="162"/>
    <cellStyle name="Vírgula 12 2" xfId="511"/>
    <cellStyle name="Vírgula 12 2 2" xfId="659"/>
    <cellStyle name="Vírgula 12 2 2 2" xfId="1124"/>
    <cellStyle name="Vírgula 12 2 2 2 2" xfId="1794"/>
    <cellStyle name="Vírgula 12 2 2 3" xfId="1793"/>
    <cellStyle name="Vírgula 12 2 3" xfId="811"/>
    <cellStyle name="Vírgula 12 2 3 2" xfId="1795"/>
    <cellStyle name="Vírgula 12 2 4" xfId="1792"/>
    <cellStyle name="Vírgula 12 3" xfId="560"/>
    <cellStyle name="Vírgula 12 3 2" xfId="701"/>
    <cellStyle name="Vírgula 12 3 2 2" xfId="1166"/>
    <cellStyle name="Vírgula 12 3 2 2 2" xfId="1798"/>
    <cellStyle name="Vírgula 12 3 2 3" xfId="1797"/>
    <cellStyle name="Vírgula 12 3 3" xfId="854"/>
    <cellStyle name="Vírgula 12 3 3 2" xfId="1799"/>
    <cellStyle name="Vírgula 12 3 4" xfId="1796"/>
    <cellStyle name="Vírgula 12 4" xfId="400"/>
    <cellStyle name="Vírgula 12 4 2" xfId="964"/>
    <cellStyle name="Vírgula 12 4 2 2" xfId="1801"/>
    <cellStyle name="Vírgula 12 4 3" xfId="1800"/>
    <cellStyle name="Vírgula 12 5" xfId="611"/>
    <cellStyle name="Vírgula 12 5 2" xfId="1077"/>
    <cellStyle name="Vírgula 12 5 2 2" xfId="1803"/>
    <cellStyle name="Vírgula 12 5 3" xfId="1802"/>
    <cellStyle name="Vírgula 12 6" xfId="284"/>
    <cellStyle name="Vírgula 12 6 2" xfId="907"/>
    <cellStyle name="Vírgula 12 6 2 2" xfId="1805"/>
    <cellStyle name="Vírgula 12 6 3" xfId="1804"/>
    <cellStyle name="Vírgula 12 7" xfId="761"/>
    <cellStyle name="Vírgula 12 7 2" xfId="1806"/>
    <cellStyle name="Vírgula 12 8" xfId="1227"/>
    <cellStyle name="Vírgula 13" xfId="186"/>
    <cellStyle name="Vírgula 13 2" xfId="926"/>
    <cellStyle name="Vírgula 14" xfId="725"/>
    <cellStyle name="Vírgula 2" xfId="26"/>
    <cellStyle name="Vírgula 2 2" xfId="163"/>
    <cellStyle name="Vírgula 2 2 2" xfId="189"/>
    <cellStyle name="Vírgula 2 2 2 2" xfId="929"/>
    <cellStyle name="Vírgula 2 2 3" xfId="908"/>
    <cellStyle name="Vírgula 2 3" xfId="178"/>
    <cellStyle name="Vírgula 2 3 2" xfId="918"/>
    <cellStyle name="Vírgula 2 4" xfId="302"/>
    <cellStyle name="Vírgula 2 5" xfId="788"/>
    <cellStyle name="Vírgula 3" xfId="27"/>
    <cellStyle name="Vírgula 3 2" xfId="28"/>
    <cellStyle name="Vírgula 3 2 2" xfId="513"/>
    <cellStyle name="Vírgula 3 2 2 2" xfId="1036"/>
    <cellStyle name="Vírgula 3 2 3" xfId="312"/>
    <cellStyle name="Vírgula 3 2 4" xfId="196"/>
    <cellStyle name="Vírgula 3 3" xfId="512"/>
    <cellStyle name="Vírgula 3 3 2" xfId="1035"/>
    <cellStyle name="Vírgula 3 4" xfId="311"/>
    <cellStyle name="Vírgula 3 5" xfId="195"/>
    <cellStyle name="Vírgula 4" xfId="29"/>
    <cellStyle name="Vírgula 5" xfId="30"/>
    <cellStyle name="Vírgula 5 2" xfId="31"/>
    <cellStyle name="Vírgula 5 2 2" xfId="176"/>
    <cellStyle name="Vírgula 5 2 2 2" xfId="916"/>
    <cellStyle name="Vírgula 5 2 3" xfId="866"/>
    <cellStyle name="Vírgula 5 3" xfId="812"/>
    <cellStyle name="Vírgula 6" xfId="164"/>
    <cellStyle name="Vírgula 6 2" xfId="165"/>
    <cellStyle name="Vírgula 6 2 2" xfId="515"/>
    <cellStyle name="Vírgula 6 2 2 2" xfId="1038"/>
    <cellStyle name="Vírgula 6 2 3" xfId="402"/>
    <cellStyle name="Vírgula 6 2 4" xfId="286"/>
    <cellStyle name="Vírgula 6 3" xfId="174"/>
    <cellStyle name="Vírgula 6 3 2" xfId="516"/>
    <cellStyle name="Vírgula 6 3 2 2" xfId="1039"/>
    <cellStyle name="Vírgula 6 3 3" xfId="410"/>
    <cellStyle name="Vírgula 6 3 4" xfId="294"/>
    <cellStyle name="Vírgula 6 4" xfId="514"/>
    <cellStyle name="Vírgula 6 4 2" xfId="1037"/>
    <cellStyle name="Vírgula 6 5" xfId="401"/>
    <cellStyle name="Vírgula 6 6" xfId="285"/>
    <cellStyle name="Vírgula 7" xfId="166"/>
    <cellStyle name="Vírgula 7 10" xfId="762"/>
    <cellStyle name="Vírgula 7 10 2" xfId="1807"/>
    <cellStyle name="Vírgula 7 11" xfId="1228"/>
    <cellStyle name="Vírgula 7 2" xfId="167"/>
    <cellStyle name="Vírgula 7 2 2" xfId="518"/>
    <cellStyle name="Vírgula 7 2 2 2" xfId="661"/>
    <cellStyle name="Vírgula 7 2 2 2 2" xfId="1126"/>
    <cellStyle name="Vírgula 7 2 2 2 2 2" xfId="1810"/>
    <cellStyle name="Vírgula 7 2 2 2 3" xfId="1809"/>
    <cellStyle name="Vírgula 7 2 2 3" xfId="814"/>
    <cellStyle name="Vírgula 7 2 2 3 2" xfId="1811"/>
    <cellStyle name="Vírgula 7 2 2 4" xfId="1808"/>
    <cellStyle name="Vírgula 7 2 3" xfId="562"/>
    <cellStyle name="Vírgula 7 2 3 2" xfId="703"/>
    <cellStyle name="Vírgula 7 2 3 2 2" xfId="1168"/>
    <cellStyle name="Vírgula 7 2 3 2 2 2" xfId="1814"/>
    <cellStyle name="Vírgula 7 2 3 2 3" xfId="1813"/>
    <cellStyle name="Vírgula 7 2 3 3" xfId="856"/>
    <cellStyle name="Vírgula 7 2 3 3 2" xfId="1815"/>
    <cellStyle name="Vírgula 7 2 3 4" xfId="1812"/>
    <cellStyle name="Vírgula 7 2 4" xfId="404"/>
    <cellStyle name="Vírgula 7 2 4 2" xfId="966"/>
    <cellStyle name="Vírgula 7 2 4 2 2" xfId="1817"/>
    <cellStyle name="Vírgula 7 2 4 3" xfId="1816"/>
    <cellStyle name="Vírgula 7 2 5" xfId="613"/>
    <cellStyle name="Vírgula 7 2 5 2" xfId="1079"/>
    <cellStyle name="Vírgula 7 2 5 2 2" xfId="1819"/>
    <cellStyle name="Vírgula 7 2 5 3" xfId="1818"/>
    <cellStyle name="Vírgula 7 2 6" xfId="288"/>
    <cellStyle name="Vírgula 7 2 6 2" xfId="910"/>
    <cellStyle name="Vírgula 7 2 6 2 2" xfId="1821"/>
    <cellStyle name="Vírgula 7 2 6 3" xfId="1820"/>
    <cellStyle name="Vírgula 7 2 7" xfId="763"/>
    <cellStyle name="Vírgula 7 2 7 2" xfId="1822"/>
    <cellStyle name="Vírgula 7 2 8" xfId="1229"/>
    <cellStyle name="Vírgula 7 3" xfId="168"/>
    <cellStyle name="Vírgula 7 3 2" xfId="519"/>
    <cellStyle name="Vírgula 7 3 2 2" xfId="662"/>
    <cellStyle name="Vírgula 7 3 2 2 2" xfId="1127"/>
    <cellStyle name="Vírgula 7 3 2 2 2 2" xfId="1825"/>
    <cellStyle name="Vírgula 7 3 2 2 3" xfId="1824"/>
    <cellStyle name="Vírgula 7 3 2 3" xfId="815"/>
    <cellStyle name="Vírgula 7 3 2 3 2" xfId="1826"/>
    <cellStyle name="Vírgula 7 3 2 4" xfId="1823"/>
    <cellStyle name="Vírgula 7 3 3" xfId="563"/>
    <cellStyle name="Vírgula 7 3 3 2" xfId="704"/>
    <cellStyle name="Vírgula 7 3 3 2 2" xfId="1169"/>
    <cellStyle name="Vírgula 7 3 3 2 2 2" xfId="1829"/>
    <cellStyle name="Vírgula 7 3 3 2 3" xfId="1828"/>
    <cellStyle name="Vírgula 7 3 3 3" xfId="857"/>
    <cellStyle name="Vírgula 7 3 3 3 2" xfId="1830"/>
    <cellStyle name="Vírgula 7 3 3 4" xfId="1827"/>
    <cellStyle name="Vírgula 7 3 4" xfId="405"/>
    <cellStyle name="Vírgula 7 3 4 2" xfId="967"/>
    <cellStyle name="Vírgula 7 3 4 2 2" xfId="1832"/>
    <cellStyle name="Vírgula 7 3 4 3" xfId="1831"/>
    <cellStyle name="Vírgula 7 3 5" xfId="614"/>
    <cellStyle name="Vírgula 7 3 5 2" xfId="1080"/>
    <cellStyle name="Vírgula 7 3 5 2 2" xfId="1834"/>
    <cellStyle name="Vírgula 7 3 5 3" xfId="1833"/>
    <cellStyle name="Vírgula 7 3 6" xfId="289"/>
    <cellStyle name="Vírgula 7 3 6 2" xfId="911"/>
    <cellStyle name="Vírgula 7 3 6 2 2" xfId="1836"/>
    <cellStyle name="Vírgula 7 3 6 3" xfId="1835"/>
    <cellStyle name="Vírgula 7 3 7" xfId="764"/>
    <cellStyle name="Vírgula 7 3 7 2" xfId="1837"/>
    <cellStyle name="Vírgula 7 3 8" xfId="1230"/>
    <cellStyle name="Vírgula 7 4" xfId="181"/>
    <cellStyle name="Vírgula 7 4 2" xfId="303"/>
    <cellStyle name="Vírgula 7 4 2 2" xfId="570"/>
    <cellStyle name="Vírgula 7 4 2 2 2" xfId="711"/>
    <cellStyle name="Vírgula 7 4 2 2 2 2" xfId="1176"/>
    <cellStyle name="Vírgula 7 4 2 2 2 2 2" xfId="1841"/>
    <cellStyle name="Vírgula 7 4 2 2 2 3" xfId="1840"/>
    <cellStyle name="Vírgula 7 4 2 2 3" xfId="717"/>
    <cellStyle name="Vírgula 7 4 2 2 3 2" xfId="1180"/>
    <cellStyle name="Vírgula 7 4 2 2 3 2 2" xfId="1843"/>
    <cellStyle name="Vírgula 7 4 2 2 3 3" xfId="1842"/>
    <cellStyle name="Vírgula 7 4 2 2 4" xfId="864"/>
    <cellStyle name="Vírgula 7 4 2 2 4 2" xfId="1844"/>
    <cellStyle name="Vírgula 7 4 2 2 5" xfId="1839"/>
    <cellStyle name="Vírgula 7 4 2 3" xfId="414"/>
    <cellStyle name="Vírgula 7 4 2 3 2" xfId="974"/>
    <cellStyle name="Vírgula 7 4 2 3 2 2" xfId="1846"/>
    <cellStyle name="Vírgula 7 4 2 3 3" xfId="1845"/>
    <cellStyle name="Vírgula 7 4 2 4" xfId="621"/>
    <cellStyle name="Vírgula 7 4 2 4 2" xfId="1087"/>
    <cellStyle name="Vírgula 7 4 2 4 2 2" xfId="1848"/>
    <cellStyle name="Vírgula 7 4 2 4 3" xfId="1847"/>
    <cellStyle name="Vírgula 7 4 2 5" xfId="772"/>
    <cellStyle name="Vírgula 7 4 2 5 2" xfId="1849"/>
    <cellStyle name="Vírgula 7 4 2 6" xfId="1838"/>
    <cellStyle name="Vírgula 7 4 3" xfId="564"/>
    <cellStyle name="Vírgula 7 4 3 2" xfId="705"/>
    <cellStyle name="Vírgula 7 4 3 2 2" xfId="1170"/>
    <cellStyle name="Vírgula 7 4 3 2 2 2" xfId="1852"/>
    <cellStyle name="Vírgula 7 4 3 2 3" xfId="1851"/>
    <cellStyle name="Vírgula 7 4 3 3" xfId="858"/>
    <cellStyle name="Vírgula 7 4 3 3 2" xfId="1853"/>
    <cellStyle name="Vírgula 7 4 3 4" xfId="1850"/>
    <cellStyle name="Vírgula 7 4 4" xfId="412"/>
    <cellStyle name="Vírgula 7 4 4 2" xfId="972"/>
    <cellStyle name="Vírgula 7 4 4 2 2" xfId="1855"/>
    <cellStyle name="Vírgula 7 4 4 3" xfId="1854"/>
    <cellStyle name="Vírgula 7 4 5" xfId="619"/>
    <cellStyle name="Vírgula 7 4 5 2" xfId="1085"/>
    <cellStyle name="Vírgula 7 4 5 2 2" xfId="1857"/>
    <cellStyle name="Vírgula 7 4 5 3" xfId="1856"/>
    <cellStyle name="Vírgula 7 4 6" xfId="296"/>
    <cellStyle name="Vírgula 7 4 6 2" xfId="921"/>
    <cellStyle name="Vírgula 7 4 6 2 2" xfId="1859"/>
    <cellStyle name="Vírgula 7 4 6 3" xfId="1858"/>
    <cellStyle name="Vírgula 7 4 7" xfId="770"/>
    <cellStyle name="Vírgula 7 4 7 2" xfId="1860"/>
    <cellStyle name="Vírgula 7 4 8" xfId="1235"/>
    <cellStyle name="Vírgula 7 5" xfId="304"/>
    <cellStyle name="Vírgula 7 5 2" xfId="569"/>
    <cellStyle name="Vírgula 7 5 2 2" xfId="710"/>
    <cellStyle name="Vírgula 7 5 2 2 2" xfId="1175"/>
    <cellStyle name="Vírgula 7 5 2 2 2 2" xfId="1864"/>
    <cellStyle name="Vírgula 7 5 2 2 3" xfId="1863"/>
    <cellStyle name="Vírgula 7 5 2 3" xfId="863"/>
    <cellStyle name="Vírgula 7 5 2 3 2" xfId="1865"/>
    <cellStyle name="Vírgula 7 5 2 4" xfId="1862"/>
    <cellStyle name="Vírgula 7 5 3" xfId="517"/>
    <cellStyle name="Vírgula 7 5 3 2" xfId="1040"/>
    <cellStyle name="Vírgula 7 5 3 2 2" xfId="1867"/>
    <cellStyle name="Vírgula 7 5 3 3" xfId="1866"/>
    <cellStyle name="Vírgula 7 5 4" xfId="660"/>
    <cellStyle name="Vírgula 7 5 4 2" xfId="1125"/>
    <cellStyle name="Vírgula 7 5 4 2 2" xfId="1869"/>
    <cellStyle name="Vírgula 7 5 4 3" xfId="1868"/>
    <cellStyle name="Vírgula 7 5 5" xfId="813"/>
    <cellStyle name="Vírgula 7 5 5 2" xfId="1870"/>
    <cellStyle name="Vírgula 7 5 6" xfId="1861"/>
    <cellStyle name="Vírgula 7 6" xfId="561"/>
    <cellStyle name="Vírgula 7 6 2" xfId="702"/>
    <cellStyle name="Vírgula 7 6 2 2" xfId="1167"/>
    <cellStyle name="Vírgula 7 6 2 2 2" xfId="1873"/>
    <cellStyle name="Vírgula 7 6 2 3" xfId="1872"/>
    <cellStyle name="Vírgula 7 6 3" xfId="855"/>
    <cellStyle name="Vírgula 7 6 3 2" xfId="1874"/>
    <cellStyle name="Vírgula 7 6 4" xfId="1871"/>
    <cellStyle name="Vírgula 7 7" xfId="403"/>
    <cellStyle name="Vírgula 7 7 2" xfId="965"/>
    <cellStyle name="Vírgula 7 7 2 2" xfId="1876"/>
    <cellStyle name="Vírgula 7 7 3" xfId="1875"/>
    <cellStyle name="Vírgula 7 8" xfId="612"/>
    <cellStyle name="Vírgula 7 8 2" xfId="1078"/>
    <cellStyle name="Vírgula 7 8 2 2" xfId="1878"/>
    <cellStyle name="Vírgula 7 8 3" xfId="1877"/>
    <cellStyle name="Vírgula 7 9" xfId="287"/>
    <cellStyle name="Vírgula 7 9 2" xfId="909"/>
    <cellStyle name="Vírgula 7 9 2 2" xfId="1880"/>
    <cellStyle name="Vírgula 7 9 3" xfId="1879"/>
    <cellStyle name="Vírgula 8" xfId="169"/>
    <cellStyle name="Vírgula 8 10" xfId="1231"/>
    <cellStyle name="Vírgula 8 2" xfId="170"/>
    <cellStyle name="Vírgula 8 2 2" xfId="521"/>
    <cellStyle name="Vírgula 8 2 2 2" xfId="664"/>
    <cellStyle name="Vírgula 8 2 2 2 2" xfId="1129"/>
    <cellStyle name="Vírgula 8 2 2 2 2 2" xfId="1883"/>
    <cellStyle name="Vírgula 8 2 2 2 3" xfId="1882"/>
    <cellStyle name="Vírgula 8 2 2 3" xfId="817"/>
    <cellStyle name="Vírgula 8 2 2 3 2" xfId="1884"/>
    <cellStyle name="Vírgula 8 2 2 4" xfId="1881"/>
    <cellStyle name="Vírgula 8 2 3" xfId="566"/>
    <cellStyle name="Vírgula 8 2 3 2" xfId="707"/>
    <cellStyle name="Vírgula 8 2 3 2 2" xfId="1172"/>
    <cellStyle name="Vírgula 8 2 3 2 2 2" xfId="1887"/>
    <cellStyle name="Vírgula 8 2 3 2 3" xfId="1886"/>
    <cellStyle name="Vírgula 8 2 3 3" xfId="860"/>
    <cellStyle name="Vírgula 8 2 3 3 2" xfId="1888"/>
    <cellStyle name="Vírgula 8 2 3 4" xfId="1885"/>
    <cellStyle name="Vírgula 8 2 4" xfId="407"/>
    <cellStyle name="Vírgula 8 2 4 2" xfId="969"/>
    <cellStyle name="Vírgula 8 2 4 2 2" xfId="1890"/>
    <cellStyle name="Vírgula 8 2 4 3" xfId="1889"/>
    <cellStyle name="Vírgula 8 2 5" xfId="616"/>
    <cellStyle name="Vírgula 8 2 5 2" xfId="1082"/>
    <cellStyle name="Vírgula 8 2 5 2 2" xfId="1892"/>
    <cellStyle name="Vírgula 8 2 5 3" xfId="1891"/>
    <cellStyle name="Vírgula 8 2 6" xfId="291"/>
    <cellStyle name="Vírgula 8 2 6 2" xfId="913"/>
    <cellStyle name="Vírgula 8 2 6 2 2" xfId="1894"/>
    <cellStyle name="Vírgula 8 2 6 3" xfId="1893"/>
    <cellStyle name="Vírgula 8 2 7" xfId="766"/>
    <cellStyle name="Vírgula 8 2 7 2" xfId="1895"/>
    <cellStyle name="Vírgula 8 2 8" xfId="1232"/>
    <cellStyle name="Vírgula 8 3" xfId="171"/>
    <cellStyle name="Vírgula 8 3 2" xfId="522"/>
    <cellStyle name="Vírgula 8 3 2 2" xfId="665"/>
    <cellStyle name="Vírgula 8 3 2 2 2" xfId="1130"/>
    <cellStyle name="Vírgula 8 3 2 2 2 2" xfId="1898"/>
    <cellStyle name="Vírgula 8 3 2 2 3" xfId="1897"/>
    <cellStyle name="Vírgula 8 3 2 3" xfId="818"/>
    <cellStyle name="Vírgula 8 3 2 3 2" xfId="1899"/>
    <cellStyle name="Vírgula 8 3 2 4" xfId="1896"/>
    <cellStyle name="Vírgula 8 3 3" xfId="567"/>
    <cellStyle name="Vírgula 8 3 3 2" xfId="708"/>
    <cellStyle name="Vírgula 8 3 3 2 2" xfId="1173"/>
    <cellStyle name="Vírgula 8 3 3 2 2 2" xfId="1902"/>
    <cellStyle name="Vírgula 8 3 3 2 3" xfId="1901"/>
    <cellStyle name="Vírgula 8 3 3 3" xfId="861"/>
    <cellStyle name="Vírgula 8 3 3 3 2" xfId="1903"/>
    <cellStyle name="Vírgula 8 3 3 4" xfId="1900"/>
    <cellStyle name="Vírgula 8 3 4" xfId="408"/>
    <cellStyle name="Vírgula 8 3 4 2" xfId="970"/>
    <cellStyle name="Vírgula 8 3 4 2 2" xfId="1905"/>
    <cellStyle name="Vírgula 8 3 4 3" xfId="1904"/>
    <cellStyle name="Vírgula 8 3 5" xfId="617"/>
    <cellStyle name="Vírgula 8 3 5 2" xfId="1083"/>
    <cellStyle name="Vírgula 8 3 5 2 2" xfId="1907"/>
    <cellStyle name="Vírgula 8 3 5 3" xfId="1906"/>
    <cellStyle name="Vírgula 8 3 6" xfId="292"/>
    <cellStyle name="Vírgula 8 3 6 2" xfId="914"/>
    <cellStyle name="Vírgula 8 3 6 2 2" xfId="1909"/>
    <cellStyle name="Vírgula 8 3 6 3" xfId="1908"/>
    <cellStyle name="Vírgula 8 3 7" xfId="767"/>
    <cellStyle name="Vírgula 8 3 7 2" xfId="1910"/>
    <cellStyle name="Vírgula 8 3 8" xfId="1233"/>
    <cellStyle name="Vírgula 8 4" xfId="520"/>
    <cellStyle name="Vírgula 8 4 2" xfId="663"/>
    <cellStyle name="Vírgula 8 4 2 2" xfId="1128"/>
    <cellStyle name="Vírgula 8 4 2 2 2" xfId="1913"/>
    <cellStyle name="Vírgula 8 4 2 3" xfId="1912"/>
    <cellStyle name="Vírgula 8 4 3" xfId="816"/>
    <cellStyle name="Vírgula 8 4 3 2" xfId="1914"/>
    <cellStyle name="Vírgula 8 4 4" xfId="1911"/>
    <cellStyle name="Vírgula 8 5" xfId="565"/>
    <cellStyle name="Vírgula 8 5 2" xfId="706"/>
    <cellStyle name="Vírgula 8 5 2 2" xfId="1171"/>
    <cellStyle name="Vírgula 8 5 2 2 2" xfId="1917"/>
    <cellStyle name="Vírgula 8 5 2 3" xfId="1916"/>
    <cellStyle name="Vírgula 8 5 3" xfId="859"/>
    <cellStyle name="Vírgula 8 5 3 2" xfId="1918"/>
    <cellStyle name="Vírgula 8 5 4" xfId="1915"/>
    <cellStyle name="Vírgula 8 6" xfId="406"/>
    <cellStyle name="Vírgula 8 6 2" xfId="968"/>
    <cellStyle name="Vírgula 8 6 2 2" xfId="1920"/>
    <cellStyle name="Vírgula 8 6 3" xfId="1919"/>
    <cellStyle name="Vírgula 8 7" xfId="615"/>
    <cellStyle name="Vírgula 8 7 2" xfId="1081"/>
    <cellStyle name="Vírgula 8 7 2 2" xfId="1922"/>
    <cellStyle name="Vírgula 8 7 3" xfId="1921"/>
    <cellStyle name="Vírgula 8 8" xfId="290"/>
    <cellStyle name="Vírgula 8 8 2" xfId="912"/>
    <cellStyle name="Vírgula 8 8 2 2" xfId="1924"/>
    <cellStyle name="Vírgula 8 8 3" xfId="1923"/>
    <cellStyle name="Vírgula 8 9" xfId="765"/>
    <cellStyle name="Vírgula 8 9 2" xfId="1925"/>
    <cellStyle name="Vírgula 9" xfId="172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952500</xdr:colOff>
      <xdr:row>0</xdr:row>
      <xdr:rowOff>14969</xdr:rowOff>
    </xdr:from>
    <xdr:to>
      <xdr:col>9</xdr:col>
      <xdr:colOff>599622</xdr:colOff>
      <xdr:row>7</xdr:row>
      <xdr:rowOff>16141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46559" y="14969"/>
          <a:ext cx="1977945" cy="1334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74520</xdr:colOff>
      <xdr:row>0</xdr:row>
      <xdr:rowOff>132791</xdr:rowOff>
    </xdr:from>
    <xdr:to>
      <xdr:col>8</xdr:col>
      <xdr:colOff>1056714</xdr:colOff>
      <xdr:row>8</xdr:row>
      <xdr:rowOff>67477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6570" y="132791"/>
          <a:ext cx="1877545" cy="131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554935</xdr:colOff>
      <xdr:row>0</xdr:row>
      <xdr:rowOff>0</xdr:rowOff>
    </xdr:from>
    <xdr:to>
      <xdr:col>3</xdr:col>
      <xdr:colOff>112229</xdr:colOff>
      <xdr:row>7</xdr:row>
      <xdr:rowOff>220436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4535" y="0"/>
          <a:ext cx="1881394" cy="135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554935</xdr:colOff>
      <xdr:row>0</xdr:row>
      <xdr:rowOff>0</xdr:rowOff>
    </xdr:from>
    <xdr:to>
      <xdr:col>3</xdr:col>
      <xdr:colOff>112229</xdr:colOff>
      <xdr:row>7</xdr:row>
      <xdr:rowOff>220436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DFE36EF-5989-4D10-AF5A-EA513E1F0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4535" y="0"/>
          <a:ext cx="1942354" cy="1393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151280</xdr:colOff>
      <xdr:row>0</xdr:row>
      <xdr:rowOff>25213</xdr:rowOff>
    </xdr:from>
    <xdr:to>
      <xdr:col>7</xdr:col>
      <xdr:colOff>904315</xdr:colOff>
      <xdr:row>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D36B7B0-7249-48CE-B633-370B6C5D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1839" y="25213"/>
          <a:ext cx="1515035" cy="107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106242</xdr:colOff>
      <xdr:row>55</xdr:row>
      <xdr:rowOff>203690</xdr:rowOff>
    </xdr:from>
    <xdr:to>
      <xdr:col>4</xdr:col>
      <xdr:colOff>973017</xdr:colOff>
      <xdr:row>55</xdr:row>
      <xdr:rowOff>279890</xdr:rowOff>
    </xdr:to>
    <xdr:sp macro="" textlink="">
      <xdr:nvSpPr>
        <xdr:cNvPr id="14" name="Retângulo de cantos arredondados 33">
          <a:extLst>
            <a:ext uri="{FF2B5EF4-FFF2-40B4-BE49-F238E27FC236}">
              <a16:creationId xmlns:a16="http://schemas.microsoft.com/office/drawing/2014/main" xmlns="" id="{A8461BA7-024D-4885-8A08-1E90E01DE907}"/>
            </a:ext>
          </a:extLst>
        </xdr:cNvPr>
        <xdr:cNvSpPr/>
      </xdr:nvSpPr>
      <xdr:spPr>
        <a:xfrm>
          <a:off x="7688142" y="183202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57</xdr:row>
      <xdr:rowOff>216878</xdr:rowOff>
    </xdr:from>
    <xdr:to>
      <xdr:col>4</xdr:col>
      <xdr:colOff>964225</xdr:colOff>
      <xdr:row>57</xdr:row>
      <xdr:rowOff>293078</xdr:rowOff>
    </xdr:to>
    <xdr:sp macro="" textlink="">
      <xdr:nvSpPr>
        <xdr:cNvPr id="15" name="Retângulo de cantos arredondados 34">
          <a:extLst>
            <a:ext uri="{FF2B5EF4-FFF2-40B4-BE49-F238E27FC236}">
              <a16:creationId xmlns:a16="http://schemas.microsoft.com/office/drawing/2014/main" xmlns="" id="{BF7EE778-94A2-4AA8-91D1-B085BC3855EB}"/>
            </a:ext>
          </a:extLst>
        </xdr:cNvPr>
        <xdr:cNvSpPr/>
      </xdr:nvSpPr>
      <xdr:spPr>
        <a:xfrm>
          <a:off x="7679350" y="189620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59</xdr:row>
      <xdr:rowOff>200759</xdr:rowOff>
    </xdr:from>
    <xdr:to>
      <xdr:col>4</xdr:col>
      <xdr:colOff>970087</xdr:colOff>
      <xdr:row>59</xdr:row>
      <xdr:rowOff>276959</xdr:rowOff>
    </xdr:to>
    <xdr:sp macro="" textlink="">
      <xdr:nvSpPr>
        <xdr:cNvPr id="16" name="Retângulo de cantos arredondados 35">
          <a:extLst>
            <a:ext uri="{FF2B5EF4-FFF2-40B4-BE49-F238E27FC236}">
              <a16:creationId xmlns:a16="http://schemas.microsoft.com/office/drawing/2014/main" xmlns="" id="{CBDD4578-36FF-40AE-A738-4A69D2FEEC7E}"/>
            </a:ext>
          </a:extLst>
        </xdr:cNvPr>
        <xdr:cNvSpPr/>
      </xdr:nvSpPr>
      <xdr:spPr>
        <a:xfrm>
          <a:off x="7685212" y="195746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112107</xdr:colOff>
      <xdr:row>120</xdr:row>
      <xdr:rowOff>158263</xdr:rowOff>
    </xdr:from>
    <xdr:to>
      <xdr:col>5</xdr:col>
      <xdr:colOff>978882</xdr:colOff>
      <xdr:row>120</xdr:row>
      <xdr:rowOff>234463</xdr:rowOff>
    </xdr:to>
    <xdr:sp macro="" textlink="">
      <xdr:nvSpPr>
        <xdr:cNvPr id="17" name="Retângulo de cantos arredondados 36">
          <a:extLst>
            <a:ext uri="{FF2B5EF4-FFF2-40B4-BE49-F238E27FC236}">
              <a16:creationId xmlns:a16="http://schemas.microsoft.com/office/drawing/2014/main" xmlns="" id="{7D226A48-F19F-4B15-941E-7238653FA599}"/>
            </a:ext>
          </a:extLst>
        </xdr:cNvPr>
        <xdr:cNvSpPr/>
      </xdr:nvSpPr>
      <xdr:spPr>
        <a:xfrm>
          <a:off x="8770332" y="3870593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103307</xdr:colOff>
      <xdr:row>122</xdr:row>
      <xdr:rowOff>171452</xdr:rowOff>
    </xdr:from>
    <xdr:to>
      <xdr:col>5</xdr:col>
      <xdr:colOff>970082</xdr:colOff>
      <xdr:row>122</xdr:row>
      <xdr:rowOff>247652</xdr:rowOff>
    </xdr:to>
    <xdr:sp macro="" textlink="">
      <xdr:nvSpPr>
        <xdr:cNvPr id="18" name="Retângulo de cantos arredondados 37">
          <a:extLst>
            <a:ext uri="{FF2B5EF4-FFF2-40B4-BE49-F238E27FC236}">
              <a16:creationId xmlns:a16="http://schemas.microsoft.com/office/drawing/2014/main" xmlns="" id="{DE473855-1BB2-422D-AFE5-009391F5BA2F}"/>
            </a:ext>
          </a:extLst>
        </xdr:cNvPr>
        <xdr:cNvSpPr/>
      </xdr:nvSpPr>
      <xdr:spPr>
        <a:xfrm>
          <a:off x="8761532" y="3934777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111501</xdr:colOff>
      <xdr:row>51</xdr:row>
      <xdr:rowOff>180975</xdr:rowOff>
    </xdr:from>
    <xdr:to>
      <xdr:col>4</xdr:col>
      <xdr:colOff>978276</xdr:colOff>
      <xdr:row>51</xdr:row>
      <xdr:rowOff>257175</xdr:rowOff>
    </xdr:to>
    <xdr:sp macro="" textlink="">
      <xdr:nvSpPr>
        <xdr:cNvPr id="24" name="Retângulo de cantos arredondados 49">
          <a:extLst>
            <a:ext uri="{FF2B5EF4-FFF2-40B4-BE49-F238E27FC236}">
              <a16:creationId xmlns:a16="http://schemas.microsoft.com/office/drawing/2014/main" xmlns="" id="{4D80BBF6-A89C-4CDC-9EEC-546AC6E6E711}"/>
            </a:ext>
          </a:extLst>
        </xdr:cNvPr>
        <xdr:cNvSpPr/>
      </xdr:nvSpPr>
      <xdr:spPr>
        <a:xfrm>
          <a:off x="7693401" y="170402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121026</xdr:colOff>
      <xdr:row>53</xdr:row>
      <xdr:rowOff>180975</xdr:rowOff>
    </xdr:from>
    <xdr:to>
      <xdr:col>4</xdr:col>
      <xdr:colOff>987801</xdr:colOff>
      <xdr:row>53</xdr:row>
      <xdr:rowOff>257175</xdr:rowOff>
    </xdr:to>
    <xdr:sp macro="" textlink="">
      <xdr:nvSpPr>
        <xdr:cNvPr id="25" name="Retângulo de cantos arredondados 50">
          <a:extLst>
            <a:ext uri="{FF2B5EF4-FFF2-40B4-BE49-F238E27FC236}">
              <a16:creationId xmlns:a16="http://schemas.microsoft.com/office/drawing/2014/main" xmlns="" id="{DAF02C22-8146-4000-A938-7E1EEA47977D}"/>
            </a:ext>
          </a:extLst>
        </xdr:cNvPr>
        <xdr:cNvSpPr/>
      </xdr:nvSpPr>
      <xdr:spPr>
        <a:xfrm>
          <a:off x="7702926" y="17668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61</xdr:row>
      <xdr:rowOff>203690</xdr:rowOff>
    </xdr:from>
    <xdr:to>
      <xdr:col>4</xdr:col>
      <xdr:colOff>973017</xdr:colOff>
      <xdr:row>61</xdr:row>
      <xdr:rowOff>279890</xdr:rowOff>
    </xdr:to>
    <xdr:sp macro="" textlink="">
      <xdr:nvSpPr>
        <xdr:cNvPr id="26" name="Retângulo de cantos arredondados 51">
          <a:extLst>
            <a:ext uri="{FF2B5EF4-FFF2-40B4-BE49-F238E27FC236}">
              <a16:creationId xmlns:a16="http://schemas.microsoft.com/office/drawing/2014/main" xmlns="" id="{966757FF-873D-434E-9D6D-C0E35140492F}"/>
            </a:ext>
          </a:extLst>
        </xdr:cNvPr>
        <xdr:cNvSpPr/>
      </xdr:nvSpPr>
      <xdr:spPr>
        <a:xfrm>
          <a:off x="7688142" y="2020619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63</xdr:row>
      <xdr:rowOff>216878</xdr:rowOff>
    </xdr:from>
    <xdr:to>
      <xdr:col>4</xdr:col>
      <xdr:colOff>964225</xdr:colOff>
      <xdr:row>63</xdr:row>
      <xdr:rowOff>293078</xdr:rowOff>
    </xdr:to>
    <xdr:sp macro="" textlink="">
      <xdr:nvSpPr>
        <xdr:cNvPr id="27" name="Retângulo de cantos arredondados 52">
          <a:extLst>
            <a:ext uri="{FF2B5EF4-FFF2-40B4-BE49-F238E27FC236}">
              <a16:creationId xmlns:a16="http://schemas.microsoft.com/office/drawing/2014/main" xmlns="" id="{DBF6D45C-6D3B-43EE-BA19-287B1B8C726B}"/>
            </a:ext>
          </a:extLst>
        </xdr:cNvPr>
        <xdr:cNvSpPr/>
      </xdr:nvSpPr>
      <xdr:spPr>
        <a:xfrm>
          <a:off x="7679350" y="20848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65</xdr:row>
      <xdr:rowOff>200759</xdr:rowOff>
    </xdr:from>
    <xdr:to>
      <xdr:col>4</xdr:col>
      <xdr:colOff>970087</xdr:colOff>
      <xdr:row>65</xdr:row>
      <xdr:rowOff>276959</xdr:rowOff>
    </xdr:to>
    <xdr:sp macro="" textlink="">
      <xdr:nvSpPr>
        <xdr:cNvPr id="28" name="Retângulo de cantos arredondados 53">
          <a:extLst>
            <a:ext uri="{FF2B5EF4-FFF2-40B4-BE49-F238E27FC236}">
              <a16:creationId xmlns:a16="http://schemas.microsoft.com/office/drawing/2014/main" xmlns="" id="{CE4F2533-FD92-4889-8DE2-62639B02294D}"/>
            </a:ext>
          </a:extLst>
        </xdr:cNvPr>
        <xdr:cNvSpPr/>
      </xdr:nvSpPr>
      <xdr:spPr>
        <a:xfrm>
          <a:off x="7685212" y="21460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72</xdr:row>
      <xdr:rowOff>181279</xdr:rowOff>
    </xdr:from>
    <xdr:to>
      <xdr:col>4</xdr:col>
      <xdr:colOff>973017</xdr:colOff>
      <xdr:row>72</xdr:row>
      <xdr:rowOff>257479</xdr:rowOff>
    </xdr:to>
    <xdr:sp macro="" textlink="">
      <xdr:nvSpPr>
        <xdr:cNvPr id="29" name="Retângulo de cantos arredondados 54">
          <a:extLst>
            <a:ext uri="{FF2B5EF4-FFF2-40B4-BE49-F238E27FC236}">
              <a16:creationId xmlns:a16="http://schemas.microsoft.com/office/drawing/2014/main" xmlns="" id="{2C54CBCC-0D66-41B5-86CB-9908CDF14018}"/>
            </a:ext>
          </a:extLst>
        </xdr:cNvPr>
        <xdr:cNvSpPr/>
      </xdr:nvSpPr>
      <xdr:spPr>
        <a:xfrm>
          <a:off x="7688142" y="2364135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74</xdr:row>
      <xdr:rowOff>216878</xdr:rowOff>
    </xdr:from>
    <xdr:to>
      <xdr:col>4</xdr:col>
      <xdr:colOff>964225</xdr:colOff>
      <xdr:row>74</xdr:row>
      <xdr:rowOff>293078</xdr:rowOff>
    </xdr:to>
    <xdr:sp macro="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xmlns="" id="{BF9AF197-7027-4138-81B2-CC1BA122CE73}"/>
            </a:ext>
          </a:extLst>
        </xdr:cNvPr>
        <xdr:cNvSpPr/>
      </xdr:nvSpPr>
      <xdr:spPr>
        <a:xfrm>
          <a:off x="7679350" y="2430560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76</xdr:row>
      <xdr:rowOff>200759</xdr:rowOff>
    </xdr:from>
    <xdr:to>
      <xdr:col>4</xdr:col>
      <xdr:colOff>970087</xdr:colOff>
      <xdr:row>76</xdr:row>
      <xdr:rowOff>276959</xdr:rowOff>
    </xdr:to>
    <xdr:sp macro="" textlink="">
      <xdr:nvSpPr>
        <xdr:cNvPr id="31" name="Retângulo de cantos arredondados 56">
          <a:extLst>
            <a:ext uri="{FF2B5EF4-FFF2-40B4-BE49-F238E27FC236}">
              <a16:creationId xmlns:a16="http://schemas.microsoft.com/office/drawing/2014/main" xmlns="" id="{7E1DFEC8-8881-4BC7-910D-524E7D056B9C}"/>
            </a:ext>
          </a:extLst>
        </xdr:cNvPr>
        <xdr:cNvSpPr/>
      </xdr:nvSpPr>
      <xdr:spPr>
        <a:xfrm>
          <a:off x="7685212" y="249181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100296</xdr:colOff>
      <xdr:row>68</xdr:row>
      <xdr:rowOff>180975</xdr:rowOff>
    </xdr:from>
    <xdr:to>
      <xdr:col>4</xdr:col>
      <xdr:colOff>967071</xdr:colOff>
      <xdr:row>68</xdr:row>
      <xdr:rowOff>257175</xdr:rowOff>
    </xdr:to>
    <xdr:sp macro="" textlink="">
      <xdr:nvSpPr>
        <xdr:cNvPr id="32" name="Retângulo de cantos arredondados 57">
          <a:extLst>
            <a:ext uri="{FF2B5EF4-FFF2-40B4-BE49-F238E27FC236}">
              <a16:creationId xmlns:a16="http://schemas.microsoft.com/office/drawing/2014/main" xmlns="" id="{A34A327D-A5CC-4C2B-9936-9C3DDEA2355C}"/>
            </a:ext>
          </a:extLst>
        </xdr:cNvPr>
        <xdr:cNvSpPr/>
      </xdr:nvSpPr>
      <xdr:spPr>
        <a:xfrm>
          <a:off x="7682196" y="223837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109821</xdr:colOff>
      <xdr:row>70</xdr:row>
      <xdr:rowOff>180975</xdr:rowOff>
    </xdr:from>
    <xdr:to>
      <xdr:col>4</xdr:col>
      <xdr:colOff>976596</xdr:colOff>
      <xdr:row>70</xdr:row>
      <xdr:rowOff>257175</xdr:rowOff>
    </xdr:to>
    <xdr:sp macro="" textlink="">
      <xdr:nvSpPr>
        <xdr:cNvPr id="33" name="Retângulo de cantos arredondados 58">
          <a:extLst>
            <a:ext uri="{FF2B5EF4-FFF2-40B4-BE49-F238E27FC236}">
              <a16:creationId xmlns:a16="http://schemas.microsoft.com/office/drawing/2014/main" xmlns="" id="{2F83CDD9-64AE-45FA-9C88-7F648CB9331B}"/>
            </a:ext>
          </a:extLst>
        </xdr:cNvPr>
        <xdr:cNvSpPr/>
      </xdr:nvSpPr>
      <xdr:spPr>
        <a:xfrm>
          <a:off x="7691721" y="230124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78</xdr:row>
      <xdr:rowOff>203690</xdr:rowOff>
    </xdr:from>
    <xdr:to>
      <xdr:col>4</xdr:col>
      <xdr:colOff>973017</xdr:colOff>
      <xdr:row>78</xdr:row>
      <xdr:rowOff>279890</xdr:rowOff>
    </xdr:to>
    <xdr:sp macro="" textlink="">
      <xdr:nvSpPr>
        <xdr:cNvPr id="34" name="Retângulo de cantos arredondados 59">
          <a:extLst>
            <a:ext uri="{FF2B5EF4-FFF2-40B4-BE49-F238E27FC236}">
              <a16:creationId xmlns:a16="http://schemas.microsoft.com/office/drawing/2014/main" xmlns="" id="{5A8D140E-D827-437F-8410-23C25653BCA2}"/>
            </a:ext>
          </a:extLst>
        </xdr:cNvPr>
        <xdr:cNvSpPr/>
      </xdr:nvSpPr>
      <xdr:spPr>
        <a:xfrm>
          <a:off x="7688142" y="255497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80</xdr:row>
      <xdr:rowOff>216878</xdr:rowOff>
    </xdr:from>
    <xdr:to>
      <xdr:col>4</xdr:col>
      <xdr:colOff>964225</xdr:colOff>
      <xdr:row>80</xdr:row>
      <xdr:rowOff>293078</xdr:rowOff>
    </xdr:to>
    <xdr:sp macro="" textlink="">
      <xdr:nvSpPr>
        <xdr:cNvPr id="35" name="Retângulo de cantos arredondados 60">
          <a:extLst>
            <a:ext uri="{FF2B5EF4-FFF2-40B4-BE49-F238E27FC236}">
              <a16:creationId xmlns:a16="http://schemas.microsoft.com/office/drawing/2014/main" xmlns="" id="{064CA8F6-91B4-4327-BCA6-FD5F99658BA6}"/>
            </a:ext>
          </a:extLst>
        </xdr:cNvPr>
        <xdr:cNvSpPr/>
      </xdr:nvSpPr>
      <xdr:spPr>
        <a:xfrm>
          <a:off x="7679350" y="261915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82</xdr:row>
      <xdr:rowOff>200759</xdr:rowOff>
    </xdr:from>
    <xdr:to>
      <xdr:col>4</xdr:col>
      <xdr:colOff>970087</xdr:colOff>
      <xdr:row>82</xdr:row>
      <xdr:rowOff>276959</xdr:rowOff>
    </xdr:to>
    <xdr:sp macro="" textlink="">
      <xdr:nvSpPr>
        <xdr:cNvPr id="36" name="Retângulo de cantos arredondados 61">
          <a:extLst>
            <a:ext uri="{FF2B5EF4-FFF2-40B4-BE49-F238E27FC236}">
              <a16:creationId xmlns:a16="http://schemas.microsoft.com/office/drawing/2014/main" xmlns="" id="{CA551FE2-E2A1-4272-AD02-FBC2C351C6E9}"/>
            </a:ext>
          </a:extLst>
        </xdr:cNvPr>
        <xdr:cNvSpPr/>
      </xdr:nvSpPr>
      <xdr:spPr>
        <a:xfrm>
          <a:off x="7685212" y="268040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84</xdr:row>
      <xdr:rowOff>200759</xdr:rowOff>
    </xdr:from>
    <xdr:to>
      <xdr:col>4</xdr:col>
      <xdr:colOff>970087</xdr:colOff>
      <xdr:row>84</xdr:row>
      <xdr:rowOff>276959</xdr:rowOff>
    </xdr:to>
    <xdr:sp macro="" textlink="">
      <xdr:nvSpPr>
        <xdr:cNvPr id="37" name="Retângulo de cantos arredondados 62">
          <a:extLst>
            <a:ext uri="{FF2B5EF4-FFF2-40B4-BE49-F238E27FC236}">
              <a16:creationId xmlns:a16="http://schemas.microsoft.com/office/drawing/2014/main" xmlns="" id="{DDBA5735-9279-472B-87FB-1696C9E9958B}"/>
            </a:ext>
          </a:extLst>
        </xdr:cNvPr>
        <xdr:cNvSpPr/>
      </xdr:nvSpPr>
      <xdr:spPr>
        <a:xfrm>
          <a:off x="7685212" y="274327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86</xdr:row>
      <xdr:rowOff>203690</xdr:rowOff>
    </xdr:from>
    <xdr:to>
      <xdr:col>4</xdr:col>
      <xdr:colOff>973017</xdr:colOff>
      <xdr:row>86</xdr:row>
      <xdr:rowOff>279890</xdr:rowOff>
    </xdr:to>
    <xdr:sp macro="" textlink="">
      <xdr:nvSpPr>
        <xdr:cNvPr id="38" name="Retângulo de cantos arredondados 63">
          <a:extLst>
            <a:ext uri="{FF2B5EF4-FFF2-40B4-BE49-F238E27FC236}">
              <a16:creationId xmlns:a16="http://schemas.microsoft.com/office/drawing/2014/main" xmlns="" id="{EDB8494C-20C5-47DC-ABA7-4ECE851E4B8E}"/>
            </a:ext>
          </a:extLst>
        </xdr:cNvPr>
        <xdr:cNvSpPr/>
      </xdr:nvSpPr>
      <xdr:spPr>
        <a:xfrm>
          <a:off x="7688142" y="280643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88</xdr:row>
      <xdr:rowOff>216878</xdr:rowOff>
    </xdr:from>
    <xdr:to>
      <xdr:col>4</xdr:col>
      <xdr:colOff>964225</xdr:colOff>
      <xdr:row>88</xdr:row>
      <xdr:rowOff>293078</xdr:rowOff>
    </xdr:to>
    <xdr:sp macro="" textlink="">
      <xdr:nvSpPr>
        <xdr:cNvPr id="39" name="Retângulo de cantos arredondados 64">
          <a:extLst>
            <a:ext uri="{FF2B5EF4-FFF2-40B4-BE49-F238E27FC236}">
              <a16:creationId xmlns:a16="http://schemas.microsoft.com/office/drawing/2014/main" xmlns="" id="{D18C859F-908A-44F3-BDDF-640E6552FDB8}"/>
            </a:ext>
          </a:extLst>
        </xdr:cNvPr>
        <xdr:cNvSpPr/>
      </xdr:nvSpPr>
      <xdr:spPr>
        <a:xfrm>
          <a:off x="7679350" y="287061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90</xdr:row>
      <xdr:rowOff>200759</xdr:rowOff>
    </xdr:from>
    <xdr:to>
      <xdr:col>4</xdr:col>
      <xdr:colOff>970087</xdr:colOff>
      <xdr:row>90</xdr:row>
      <xdr:rowOff>276959</xdr:rowOff>
    </xdr:to>
    <xdr:sp macro="" textlink="">
      <xdr:nvSpPr>
        <xdr:cNvPr id="40" name="Retângulo de cantos arredondados 65">
          <a:extLst>
            <a:ext uri="{FF2B5EF4-FFF2-40B4-BE49-F238E27FC236}">
              <a16:creationId xmlns:a16="http://schemas.microsoft.com/office/drawing/2014/main" xmlns="" id="{7A585496-BB9F-42D0-8F25-A10D27A19F37}"/>
            </a:ext>
          </a:extLst>
        </xdr:cNvPr>
        <xdr:cNvSpPr/>
      </xdr:nvSpPr>
      <xdr:spPr>
        <a:xfrm>
          <a:off x="7685212" y="293186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66675</xdr:colOff>
      <xdr:row>93</xdr:row>
      <xdr:rowOff>180975</xdr:rowOff>
    </xdr:from>
    <xdr:to>
      <xdr:col>3</xdr:col>
      <xdr:colOff>933450</xdr:colOff>
      <xdr:row>93</xdr:row>
      <xdr:rowOff>257175</xdr:rowOff>
    </xdr:to>
    <xdr:sp macro="" textlink="">
      <xdr:nvSpPr>
        <xdr:cNvPr id="41" name="Retângulo de cantos arredondados 66">
          <a:extLst>
            <a:ext uri="{FF2B5EF4-FFF2-40B4-BE49-F238E27FC236}">
              <a16:creationId xmlns:a16="http://schemas.microsoft.com/office/drawing/2014/main" xmlns="" id="{DA381CA9-C6F5-4DEB-8C9E-F92B0EBB3B6A}"/>
            </a:ext>
          </a:extLst>
        </xdr:cNvPr>
        <xdr:cNvSpPr/>
      </xdr:nvSpPr>
      <xdr:spPr>
        <a:xfrm>
          <a:off x="6648450" y="30241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64994</xdr:colOff>
      <xdr:row>95</xdr:row>
      <xdr:rowOff>192181</xdr:rowOff>
    </xdr:from>
    <xdr:to>
      <xdr:col>3</xdr:col>
      <xdr:colOff>931769</xdr:colOff>
      <xdr:row>95</xdr:row>
      <xdr:rowOff>268381</xdr:rowOff>
    </xdr:to>
    <xdr:sp macro="" textlink="">
      <xdr:nvSpPr>
        <xdr:cNvPr id="42" name="Retângulo de cantos arredondados 67">
          <a:extLst>
            <a:ext uri="{FF2B5EF4-FFF2-40B4-BE49-F238E27FC236}">
              <a16:creationId xmlns:a16="http://schemas.microsoft.com/office/drawing/2014/main" xmlns="" id="{1A6CB871-AA50-4852-813A-919B4CBBF58A}"/>
            </a:ext>
          </a:extLst>
        </xdr:cNvPr>
        <xdr:cNvSpPr/>
      </xdr:nvSpPr>
      <xdr:spPr>
        <a:xfrm>
          <a:off x="6646769" y="3088173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100297</xdr:colOff>
      <xdr:row>98</xdr:row>
      <xdr:rowOff>180975</xdr:rowOff>
    </xdr:from>
    <xdr:to>
      <xdr:col>4</xdr:col>
      <xdr:colOff>967072</xdr:colOff>
      <xdr:row>98</xdr:row>
      <xdr:rowOff>257175</xdr:rowOff>
    </xdr:to>
    <xdr:sp macro="" textlink="">
      <xdr:nvSpPr>
        <xdr:cNvPr id="43" name="Retângulo de cantos arredondados 68">
          <a:extLst>
            <a:ext uri="{FF2B5EF4-FFF2-40B4-BE49-F238E27FC236}">
              <a16:creationId xmlns:a16="http://schemas.microsoft.com/office/drawing/2014/main" xmlns="" id="{277FB5AD-850E-41F1-9395-2CECE7E6208A}"/>
            </a:ext>
          </a:extLst>
        </xdr:cNvPr>
        <xdr:cNvSpPr/>
      </xdr:nvSpPr>
      <xdr:spPr>
        <a:xfrm>
          <a:off x="7682197" y="318135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98614</xdr:colOff>
      <xdr:row>100</xdr:row>
      <xdr:rowOff>180975</xdr:rowOff>
    </xdr:from>
    <xdr:to>
      <xdr:col>5</xdr:col>
      <xdr:colOff>965389</xdr:colOff>
      <xdr:row>100</xdr:row>
      <xdr:rowOff>257175</xdr:rowOff>
    </xdr:to>
    <xdr:sp macro="" textlink="">
      <xdr:nvSpPr>
        <xdr:cNvPr id="44" name="Retângulo de cantos arredondados 69">
          <a:extLst>
            <a:ext uri="{FF2B5EF4-FFF2-40B4-BE49-F238E27FC236}">
              <a16:creationId xmlns:a16="http://schemas.microsoft.com/office/drawing/2014/main" xmlns="" id="{054A061C-E4F6-4AEA-AA22-414C6734198E}"/>
            </a:ext>
          </a:extLst>
        </xdr:cNvPr>
        <xdr:cNvSpPr/>
      </xdr:nvSpPr>
      <xdr:spPr>
        <a:xfrm>
          <a:off x="8756839" y="324421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103</xdr:row>
      <xdr:rowOff>216878</xdr:rowOff>
    </xdr:from>
    <xdr:to>
      <xdr:col>5</xdr:col>
      <xdr:colOff>964227</xdr:colOff>
      <xdr:row>103</xdr:row>
      <xdr:rowOff>293078</xdr:rowOff>
    </xdr:to>
    <xdr:sp macro="" textlink="">
      <xdr:nvSpPr>
        <xdr:cNvPr id="45" name="Retângulo de cantos arredondados 70">
          <a:extLst>
            <a:ext uri="{FF2B5EF4-FFF2-40B4-BE49-F238E27FC236}">
              <a16:creationId xmlns:a16="http://schemas.microsoft.com/office/drawing/2014/main" xmlns="" id="{A60CC7DD-BB71-4434-BA9D-64F12EBAD260}"/>
            </a:ext>
          </a:extLst>
        </xdr:cNvPr>
        <xdr:cNvSpPr/>
      </xdr:nvSpPr>
      <xdr:spPr>
        <a:xfrm>
          <a:off x="8755677" y="33421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105</xdr:row>
      <xdr:rowOff>200759</xdr:rowOff>
    </xdr:from>
    <xdr:to>
      <xdr:col>5</xdr:col>
      <xdr:colOff>970089</xdr:colOff>
      <xdr:row>105</xdr:row>
      <xdr:rowOff>276959</xdr:rowOff>
    </xdr:to>
    <xdr:sp macro="" textlink="">
      <xdr:nvSpPr>
        <xdr:cNvPr id="46" name="Retângulo de cantos arredondados 71">
          <a:extLst>
            <a:ext uri="{FF2B5EF4-FFF2-40B4-BE49-F238E27FC236}">
              <a16:creationId xmlns:a16="http://schemas.microsoft.com/office/drawing/2014/main" xmlns="" id="{2AB82747-413E-4ED3-B9E2-6D0988B79645}"/>
            </a:ext>
          </a:extLst>
        </xdr:cNvPr>
        <xdr:cNvSpPr/>
      </xdr:nvSpPr>
      <xdr:spPr>
        <a:xfrm>
          <a:off x="8761539" y="34033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107</xdr:row>
      <xdr:rowOff>203690</xdr:rowOff>
    </xdr:from>
    <xdr:to>
      <xdr:col>5</xdr:col>
      <xdr:colOff>973019</xdr:colOff>
      <xdr:row>107</xdr:row>
      <xdr:rowOff>279890</xdr:rowOff>
    </xdr:to>
    <xdr:sp macro="" textlink="">
      <xdr:nvSpPr>
        <xdr:cNvPr id="47" name="Retângulo de cantos arredondados 72">
          <a:extLst>
            <a:ext uri="{FF2B5EF4-FFF2-40B4-BE49-F238E27FC236}">
              <a16:creationId xmlns:a16="http://schemas.microsoft.com/office/drawing/2014/main" xmlns="" id="{34069867-C20F-43F9-86BD-5E80C2F3028C}"/>
            </a:ext>
          </a:extLst>
        </xdr:cNvPr>
        <xdr:cNvSpPr/>
      </xdr:nvSpPr>
      <xdr:spPr>
        <a:xfrm>
          <a:off x="8764469" y="346651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109</xdr:row>
      <xdr:rowOff>216878</xdr:rowOff>
    </xdr:from>
    <xdr:to>
      <xdr:col>5</xdr:col>
      <xdr:colOff>964227</xdr:colOff>
      <xdr:row>109</xdr:row>
      <xdr:rowOff>293078</xdr:rowOff>
    </xdr:to>
    <xdr:sp macro="" textlink="">
      <xdr:nvSpPr>
        <xdr:cNvPr id="48" name="Retângulo de cantos arredondados 73">
          <a:extLst>
            <a:ext uri="{FF2B5EF4-FFF2-40B4-BE49-F238E27FC236}">
              <a16:creationId xmlns:a16="http://schemas.microsoft.com/office/drawing/2014/main" xmlns="" id="{5ED01C8C-6DFA-4985-933C-EB15D83144C7}"/>
            </a:ext>
          </a:extLst>
        </xdr:cNvPr>
        <xdr:cNvSpPr/>
      </xdr:nvSpPr>
      <xdr:spPr>
        <a:xfrm>
          <a:off x="8755677" y="353069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111</xdr:row>
      <xdr:rowOff>200759</xdr:rowOff>
    </xdr:from>
    <xdr:to>
      <xdr:col>5</xdr:col>
      <xdr:colOff>970089</xdr:colOff>
      <xdr:row>111</xdr:row>
      <xdr:rowOff>276959</xdr:rowOff>
    </xdr:to>
    <xdr:sp macro="" textlink="">
      <xdr:nvSpPr>
        <xdr:cNvPr id="49" name="Retângulo de cantos arredondados 74">
          <a:extLst>
            <a:ext uri="{FF2B5EF4-FFF2-40B4-BE49-F238E27FC236}">
              <a16:creationId xmlns:a16="http://schemas.microsoft.com/office/drawing/2014/main" xmlns="" id="{333DBEFC-0C8D-4020-833C-B3CA80B907DC}"/>
            </a:ext>
          </a:extLst>
        </xdr:cNvPr>
        <xdr:cNvSpPr/>
      </xdr:nvSpPr>
      <xdr:spPr>
        <a:xfrm>
          <a:off x="8761539" y="359195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113</xdr:row>
      <xdr:rowOff>200759</xdr:rowOff>
    </xdr:from>
    <xdr:to>
      <xdr:col>5</xdr:col>
      <xdr:colOff>970089</xdr:colOff>
      <xdr:row>113</xdr:row>
      <xdr:rowOff>276959</xdr:rowOff>
    </xdr:to>
    <xdr:sp macro="" textlink="">
      <xdr:nvSpPr>
        <xdr:cNvPr id="50" name="Retângulo de cantos arredondados 75">
          <a:extLst>
            <a:ext uri="{FF2B5EF4-FFF2-40B4-BE49-F238E27FC236}">
              <a16:creationId xmlns:a16="http://schemas.microsoft.com/office/drawing/2014/main" xmlns="" id="{A677224C-61F0-4AF9-A3CC-CC6295065CF0}"/>
            </a:ext>
          </a:extLst>
        </xdr:cNvPr>
        <xdr:cNvSpPr/>
      </xdr:nvSpPr>
      <xdr:spPr>
        <a:xfrm>
          <a:off x="8761539" y="365481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115</xdr:row>
      <xdr:rowOff>203690</xdr:rowOff>
    </xdr:from>
    <xdr:to>
      <xdr:col>5</xdr:col>
      <xdr:colOff>973019</xdr:colOff>
      <xdr:row>115</xdr:row>
      <xdr:rowOff>279890</xdr:rowOff>
    </xdr:to>
    <xdr:sp macro="" textlink="">
      <xdr:nvSpPr>
        <xdr:cNvPr id="51" name="Retângulo de cantos arredondados 76">
          <a:extLst>
            <a:ext uri="{FF2B5EF4-FFF2-40B4-BE49-F238E27FC236}">
              <a16:creationId xmlns:a16="http://schemas.microsoft.com/office/drawing/2014/main" xmlns="" id="{761FF081-F520-43AF-A9B1-4B39603C5614}"/>
            </a:ext>
          </a:extLst>
        </xdr:cNvPr>
        <xdr:cNvSpPr/>
      </xdr:nvSpPr>
      <xdr:spPr>
        <a:xfrm>
          <a:off x="8764469" y="371797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117</xdr:row>
      <xdr:rowOff>216878</xdr:rowOff>
    </xdr:from>
    <xdr:to>
      <xdr:col>5</xdr:col>
      <xdr:colOff>964227</xdr:colOff>
      <xdr:row>117</xdr:row>
      <xdr:rowOff>293078</xdr:rowOff>
    </xdr:to>
    <xdr:sp macro="" textlink="">
      <xdr:nvSpPr>
        <xdr:cNvPr id="52" name="Retângulo de cantos arredondados 77">
          <a:extLst>
            <a:ext uri="{FF2B5EF4-FFF2-40B4-BE49-F238E27FC236}">
              <a16:creationId xmlns:a16="http://schemas.microsoft.com/office/drawing/2014/main" xmlns="" id="{648D5ED0-AC7F-4CDF-B374-DD874305E4C1}"/>
            </a:ext>
          </a:extLst>
        </xdr:cNvPr>
        <xdr:cNvSpPr/>
      </xdr:nvSpPr>
      <xdr:spPr>
        <a:xfrm>
          <a:off x="8755677" y="378215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105338</xdr:colOff>
      <xdr:row>100</xdr:row>
      <xdr:rowOff>176492</xdr:rowOff>
    </xdr:from>
    <xdr:to>
      <xdr:col>4</xdr:col>
      <xdr:colOff>972113</xdr:colOff>
      <xdr:row>100</xdr:row>
      <xdr:rowOff>252692</xdr:rowOff>
    </xdr:to>
    <xdr:sp macro="" textlink="">
      <xdr:nvSpPr>
        <xdr:cNvPr id="60" name="Retângulo de cantos arredondados 164">
          <a:extLst>
            <a:ext uri="{FF2B5EF4-FFF2-40B4-BE49-F238E27FC236}">
              <a16:creationId xmlns:a16="http://schemas.microsoft.com/office/drawing/2014/main" xmlns="" id="{3640B08A-A0DD-4053-A70A-596233A755FB}"/>
            </a:ext>
          </a:extLst>
        </xdr:cNvPr>
        <xdr:cNvSpPr/>
      </xdr:nvSpPr>
      <xdr:spPr>
        <a:xfrm>
          <a:off x="7687238" y="3243766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84614</xdr:colOff>
      <xdr:row>98</xdr:row>
      <xdr:rowOff>176491</xdr:rowOff>
    </xdr:from>
    <xdr:to>
      <xdr:col>5</xdr:col>
      <xdr:colOff>951389</xdr:colOff>
      <xdr:row>98</xdr:row>
      <xdr:rowOff>252691</xdr:rowOff>
    </xdr:to>
    <xdr:sp macro="" textlink="">
      <xdr:nvSpPr>
        <xdr:cNvPr id="61" name="Retângulo de cantos arredondados 165">
          <a:extLst>
            <a:ext uri="{FF2B5EF4-FFF2-40B4-BE49-F238E27FC236}">
              <a16:creationId xmlns:a16="http://schemas.microsoft.com/office/drawing/2014/main" xmlns="" id="{DA9FC9CB-3013-4111-8B24-F1F08852893F}"/>
            </a:ext>
          </a:extLst>
        </xdr:cNvPr>
        <xdr:cNvSpPr/>
      </xdr:nvSpPr>
      <xdr:spPr>
        <a:xfrm>
          <a:off x="8742839" y="3180901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104173</xdr:colOff>
      <xdr:row>103</xdr:row>
      <xdr:rowOff>212394</xdr:rowOff>
    </xdr:from>
    <xdr:to>
      <xdr:col>4</xdr:col>
      <xdr:colOff>970948</xdr:colOff>
      <xdr:row>103</xdr:row>
      <xdr:rowOff>288594</xdr:rowOff>
    </xdr:to>
    <xdr:sp macro="" textlink="">
      <xdr:nvSpPr>
        <xdr:cNvPr id="64" name="Retângulo de cantos arredondados 168">
          <a:extLst>
            <a:ext uri="{FF2B5EF4-FFF2-40B4-BE49-F238E27FC236}">
              <a16:creationId xmlns:a16="http://schemas.microsoft.com/office/drawing/2014/main" xmlns="" id="{164C76E0-8CDD-49AE-A4E0-FC4CCF06DEB0}"/>
            </a:ext>
          </a:extLst>
        </xdr:cNvPr>
        <xdr:cNvSpPr/>
      </xdr:nvSpPr>
      <xdr:spPr>
        <a:xfrm>
          <a:off x="7686073" y="3341654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105</xdr:row>
      <xdr:rowOff>196275</xdr:rowOff>
    </xdr:from>
    <xdr:to>
      <xdr:col>4</xdr:col>
      <xdr:colOff>976810</xdr:colOff>
      <xdr:row>105</xdr:row>
      <xdr:rowOff>272475</xdr:rowOff>
    </xdr:to>
    <xdr:sp macro="" textlink="">
      <xdr:nvSpPr>
        <xdr:cNvPr id="65" name="Retângulo de cantos arredondados 169">
          <a:extLst>
            <a:ext uri="{FF2B5EF4-FFF2-40B4-BE49-F238E27FC236}">
              <a16:creationId xmlns:a16="http://schemas.microsoft.com/office/drawing/2014/main" xmlns="" id="{5A3AB9D9-592C-4CF0-BD2D-D71C93E864B0}"/>
            </a:ext>
          </a:extLst>
        </xdr:cNvPr>
        <xdr:cNvSpPr/>
      </xdr:nvSpPr>
      <xdr:spPr>
        <a:xfrm>
          <a:off x="7691935" y="340290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107</xdr:row>
      <xdr:rowOff>199206</xdr:rowOff>
    </xdr:from>
    <xdr:to>
      <xdr:col>4</xdr:col>
      <xdr:colOff>979740</xdr:colOff>
      <xdr:row>107</xdr:row>
      <xdr:rowOff>275406</xdr:rowOff>
    </xdr:to>
    <xdr:sp macro="" textlink="">
      <xdr:nvSpPr>
        <xdr:cNvPr id="66" name="Retângulo de cantos arredondados 170">
          <a:extLst>
            <a:ext uri="{FF2B5EF4-FFF2-40B4-BE49-F238E27FC236}">
              <a16:creationId xmlns:a16="http://schemas.microsoft.com/office/drawing/2014/main" xmlns="" id="{44B48E23-AFF6-41AA-ACFF-95F6A61952F2}"/>
            </a:ext>
          </a:extLst>
        </xdr:cNvPr>
        <xdr:cNvSpPr/>
      </xdr:nvSpPr>
      <xdr:spPr>
        <a:xfrm>
          <a:off x="7694865" y="346606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109</xdr:row>
      <xdr:rowOff>212394</xdr:rowOff>
    </xdr:from>
    <xdr:to>
      <xdr:col>4</xdr:col>
      <xdr:colOff>970948</xdr:colOff>
      <xdr:row>109</xdr:row>
      <xdr:rowOff>288594</xdr:rowOff>
    </xdr:to>
    <xdr:sp macro="" textlink="">
      <xdr:nvSpPr>
        <xdr:cNvPr id="67" name="Retângulo de cantos arredondados 171">
          <a:extLst>
            <a:ext uri="{FF2B5EF4-FFF2-40B4-BE49-F238E27FC236}">
              <a16:creationId xmlns:a16="http://schemas.microsoft.com/office/drawing/2014/main" xmlns="" id="{AC75A096-4E9C-4DCC-95E0-967E235CF5B2}"/>
            </a:ext>
          </a:extLst>
        </xdr:cNvPr>
        <xdr:cNvSpPr/>
      </xdr:nvSpPr>
      <xdr:spPr>
        <a:xfrm>
          <a:off x="7686073" y="353024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111</xdr:row>
      <xdr:rowOff>196275</xdr:rowOff>
    </xdr:from>
    <xdr:to>
      <xdr:col>4</xdr:col>
      <xdr:colOff>976810</xdr:colOff>
      <xdr:row>111</xdr:row>
      <xdr:rowOff>272475</xdr:rowOff>
    </xdr:to>
    <xdr:sp macro="" textlink="">
      <xdr:nvSpPr>
        <xdr:cNvPr id="68" name="Retângulo de cantos arredondados 172">
          <a:extLst>
            <a:ext uri="{FF2B5EF4-FFF2-40B4-BE49-F238E27FC236}">
              <a16:creationId xmlns:a16="http://schemas.microsoft.com/office/drawing/2014/main" xmlns="" id="{458C84CC-76A6-499F-8925-AFC127AA140A}"/>
            </a:ext>
          </a:extLst>
        </xdr:cNvPr>
        <xdr:cNvSpPr/>
      </xdr:nvSpPr>
      <xdr:spPr>
        <a:xfrm>
          <a:off x="7691935" y="359150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113</xdr:row>
      <xdr:rowOff>196275</xdr:rowOff>
    </xdr:from>
    <xdr:to>
      <xdr:col>4</xdr:col>
      <xdr:colOff>976810</xdr:colOff>
      <xdr:row>113</xdr:row>
      <xdr:rowOff>272475</xdr:rowOff>
    </xdr:to>
    <xdr:sp macro="" textlink="">
      <xdr:nvSpPr>
        <xdr:cNvPr id="69" name="Retângulo de cantos arredondados 173">
          <a:extLst>
            <a:ext uri="{FF2B5EF4-FFF2-40B4-BE49-F238E27FC236}">
              <a16:creationId xmlns:a16="http://schemas.microsoft.com/office/drawing/2014/main" xmlns="" id="{DDE82785-A5F3-41C9-8B70-4A1ECD2AF0BF}"/>
            </a:ext>
          </a:extLst>
        </xdr:cNvPr>
        <xdr:cNvSpPr/>
      </xdr:nvSpPr>
      <xdr:spPr>
        <a:xfrm>
          <a:off x="7691935" y="365436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115</xdr:row>
      <xdr:rowOff>199206</xdr:rowOff>
    </xdr:from>
    <xdr:to>
      <xdr:col>4</xdr:col>
      <xdr:colOff>979740</xdr:colOff>
      <xdr:row>115</xdr:row>
      <xdr:rowOff>275406</xdr:rowOff>
    </xdr:to>
    <xdr:sp macro="" textlink="">
      <xdr:nvSpPr>
        <xdr:cNvPr id="70" name="Retângulo de cantos arredondados 174">
          <a:extLst>
            <a:ext uri="{FF2B5EF4-FFF2-40B4-BE49-F238E27FC236}">
              <a16:creationId xmlns:a16="http://schemas.microsoft.com/office/drawing/2014/main" xmlns="" id="{36B43722-BE7F-422F-ADF4-5B5702E52E4C}"/>
            </a:ext>
          </a:extLst>
        </xdr:cNvPr>
        <xdr:cNvSpPr/>
      </xdr:nvSpPr>
      <xdr:spPr>
        <a:xfrm>
          <a:off x="7694865" y="371752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117</xdr:row>
      <xdr:rowOff>212394</xdr:rowOff>
    </xdr:from>
    <xdr:to>
      <xdr:col>4</xdr:col>
      <xdr:colOff>970948</xdr:colOff>
      <xdr:row>117</xdr:row>
      <xdr:rowOff>288594</xdr:rowOff>
    </xdr:to>
    <xdr:sp macro="" textlink="">
      <xdr:nvSpPr>
        <xdr:cNvPr id="71" name="Retângulo de cantos arredondados 175">
          <a:extLst>
            <a:ext uri="{FF2B5EF4-FFF2-40B4-BE49-F238E27FC236}">
              <a16:creationId xmlns:a16="http://schemas.microsoft.com/office/drawing/2014/main" xmlns="" id="{9D2224A5-A34A-463E-B23E-AA8BE9A55076}"/>
            </a:ext>
          </a:extLst>
        </xdr:cNvPr>
        <xdr:cNvSpPr/>
      </xdr:nvSpPr>
      <xdr:spPr>
        <a:xfrm>
          <a:off x="7686073" y="378170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105339</xdr:colOff>
      <xdr:row>95</xdr:row>
      <xdr:rowOff>176491</xdr:rowOff>
    </xdr:from>
    <xdr:to>
      <xdr:col>4</xdr:col>
      <xdr:colOff>972114</xdr:colOff>
      <xdr:row>95</xdr:row>
      <xdr:rowOff>252691</xdr:rowOff>
    </xdr:to>
    <xdr:sp macro="" textlink="">
      <xdr:nvSpPr>
        <xdr:cNvPr id="72" name="Retângulo de cantos arredondados 180">
          <a:extLst>
            <a:ext uri="{FF2B5EF4-FFF2-40B4-BE49-F238E27FC236}">
              <a16:creationId xmlns:a16="http://schemas.microsoft.com/office/drawing/2014/main" xmlns="" id="{D775480B-2B1E-4A55-85D0-30CD88E32716}"/>
            </a:ext>
          </a:extLst>
        </xdr:cNvPr>
        <xdr:cNvSpPr/>
      </xdr:nvSpPr>
      <xdr:spPr>
        <a:xfrm>
          <a:off x="7687239" y="3086604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112061</xdr:colOff>
      <xdr:row>93</xdr:row>
      <xdr:rowOff>183206</xdr:rowOff>
    </xdr:from>
    <xdr:to>
      <xdr:col>4</xdr:col>
      <xdr:colOff>978836</xdr:colOff>
      <xdr:row>93</xdr:row>
      <xdr:rowOff>259406</xdr:rowOff>
    </xdr:to>
    <xdr:sp macro="" textlink="">
      <xdr:nvSpPr>
        <xdr:cNvPr id="73" name="Retângulo de cantos arredondados 181">
          <a:extLst>
            <a:ext uri="{FF2B5EF4-FFF2-40B4-BE49-F238E27FC236}">
              <a16:creationId xmlns:a16="http://schemas.microsoft.com/office/drawing/2014/main" xmlns="" id="{71D57D79-ED2E-4B4C-9BA0-C74CB1AC6231}"/>
            </a:ext>
          </a:extLst>
        </xdr:cNvPr>
        <xdr:cNvSpPr/>
      </xdr:nvSpPr>
      <xdr:spPr>
        <a:xfrm>
          <a:off x="7693961" y="3024410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55</xdr:row>
      <xdr:rowOff>203690</xdr:rowOff>
    </xdr:from>
    <xdr:to>
      <xdr:col>6</xdr:col>
      <xdr:colOff>973017</xdr:colOff>
      <xdr:row>55</xdr:row>
      <xdr:rowOff>279890</xdr:rowOff>
    </xdr:to>
    <xdr:sp macro="" textlink="">
      <xdr:nvSpPr>
        <xdr:cNvPr id="53" name="Retângulo de cantos arredondados 33">
          <a:extLst>
            <a:ext uri="{FF2B5EF4-FFF2-40B4-BE49-F238E27FC236}">
              <a16:creationId xmlns:a16="http://schemas.microsoft.com/office/drawing/2014/main" xmlns="" id="{5B717761-CBB7-49B0-A035-9E65C9CFEE9F}"/>
            </a:ext>
          </a:extLst>
        </xdr:cNvPr>
        <xdr:cNvSpPr/>
      </xdr:nvSpPr>
      <xdr:spPr>
        <a:xfrm>
          <a:off x="8252918" y="947767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57</xdr:row>
      <xdr:rowOff>216878</xdr:rowOff>
    </xdr:from>
    <xdr:to>
      <xdr:col>6</xdr:col>
      <xdr:colOff>964225</xdr:colOff>
      <xdr:row>57</xdr:row>
      <xdr:rowOff>293078</xdr:rowOff>
    </xdr:to>
    <xdr:sp macro="" textlink="">
      <xdr:nvSpPr>
        <xdr:cNvPr id="54" name="Retângulo de cantos arredondados 34">
          <a:extLst>
            <a:ext uri="{FF2B5EF4-FFF2-40B4-BE49-F238E27FC236}">
              <a16:creationId xmlns:a16="http://schemas.microsoft.com/office/drawing/2014/main" xmlns="" id="{E711B6F3-B924-4C6C-89AC-1594643A6CF3}"/>
            </a:ext>
          </a:extLst>
        </xdr:cNvPr>
        <xdr:cNvSpPr/>
      </xdr:nvSpPr>
      <xdr:spPr>
        <a:xfrm>
          <a:off x="8244126" y="978558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59</xdr:row>
      <xdr:rowOff>200759</xdr:rowOff>
    </xdr:from>
    <xdr:to>
      <xdr:col>6</xdr:col>
      <xdr:colOff>970087</xdr:colOff>
      <xdr:row>59</xdr:row>
      <xdr:rowOff>276959</xdr:rowOff>
    </xdr:to>
    <xdr:sp macro="" textlink="">
      <xdr:nvSpPr>
        <xdr:cNvPr id="55" name="Retângulo de cantos arredondados 35">
          <a:extLst>
            <a:ext uri="{FF2B5EF4-FFF2-40B4-BE49-F238E27FC236}">
              <a16:creationId xmlns:a16="http://schemas.microsoft.com/office/drawing/2014/main" xmlns="" id="{A180FE1C-B04D-4892-919C-56C6F66F370C}"/>
            </a:ext>
          </a:extLst>
        </xdr:cNvPr>
        <xdr:cNvSpPr/>
      </xdr:nvSpPr>
      <xdr:spPr>
        <a:xfrm>
          <a:off x="8249988" y="101022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112107</xdr:colOff>
      <xdr:row>120</xdr:row>
      <xdr:rowOff>158263</xdr:rowOff>
    </xdr:from>
    <xdr:to>
      <xdr:col>7</xdr:col>
      <xdr:colOff>978882</xdr:colOff>
      <xdr:row>120</xdr:row>
      <xdr:rowOff>234463</xdr:rowOff>
    </xdr:to>
    <xdr:sp macro="" textlink="">
      <xdr:nvSpPr>
        <xdr:cNvPr id="56" name="Retângulo de cantos arredondados 36">
          <a:extLst>
            <a:ext uri="{FF2B5EF4-FFF2-40B4-BE49-F238E27FC236}">
              <a16:creationId xmlns:a16="http://schemas.microsoft.com/office/drawing/2014/main" xmlns="" id="{1ACC73FA-D8C3-43A2-A3C0-1B3E74455ADF}"/>
            </a:ext>
          </a:extLst>
        </xdr:cNvPr>
        <xdr:cNvSpPr/>
      </xdr:nvSpPr>
      <xdr:spPr>
        <a:xfrm>
          <a:off x="9782783" y="1966770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103307</xdr:colOff>
      <xdr:row>122</xdr:row>
      <xdr:rowOff>171452</xdr:rowOff>
    </xdr:from>
    <xdr:to>
      <xdr:col>7</xdr:col>
      <xdr:colOff>970082</xdr:colOff>
      <xdr:row>122</xdr:row>
      <xdr:rowOff>247652</xdr:rowOff>
    </xdr:to>
    <xdr:sp macro="" textlink="">
      <xdr:nvSpPr>
        <xdr:cNvPr id="57" name="Retângulo de cantos arredondados 37">
          <a:extLst>
            <a:ext uri="{FF2B5EF4-FFF2-40B4-BE49-F238E27FC236}">
              <a16:creationId xmlns:a16="http://schemas.microsoft.com/office/drawing/2014/main" xmlns="" id="{13F3A8F7-FBCE-4FCA-90CA-07C80FFC1154}"/>
            </a:ext>
          </a:extLst>
        </xdr:cNvPr>
        <xdr:cNvSpPr/>
      </xdr:nvSpPr>
      <xdr:spPr>
        <a:xfrm>
          <a:off x="9773983" y="1998513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111501</xdr:colOff>
      <xdr:row>51</xdr:row>
      <xdr:rowOff>180975</xdr:rowOff>
    </xdr:from>
    <xdr:to>
      <xdr:col>6</xdr:col>
      <xdr:colOff>978276</xdr:colOff>
      <xdr:row>51</xdr:row>
      <xdr:rowOff>257175</xdr:rowOff>
    </xdr:to>
    <xdr:sp macro="" textlink="">
      <xdr:nvSpPr>
        <xdr:cNvPr id="59" name="Retângulo de cantos arredondados 49">
          <a:extLst>
            <a:ext uri="{FF2B5EF4-FFF2-40B4-BE49-F238E27FC236}">
              <a16:creationId xmlns:a16="http://schemas.microsoft.com/office/drawing/2014/main" xmlns="" id="{7D4D8966-DD38-455F-87B9-82BDF3C2D299}"/>
            </a:ext>
          </a:extLst>
        </xdr:cNvPr>
        <xdr:cNvSpPr/>
      </xdr:nvSpPr>
      <xdr:spPr>
        <a:xfrm>
          <a:off x="8258177" y="884648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121026</xdr:colOff>
      <xdr:row>53</xdr:row>
      <xdr:rowOff>180975</xdr:rowOff>
    </xdr:from>
    <xdr:to>
      <xdr:col>6</xdr:col>
      <xdr:colOff>987801</xdr:colOff>
      <xdr:row>53</xdr:row>
      <xdr:rowOff>257175</xdr:rowOff>
    </xdr:to>
    <xdr:sp macro="" textlink="">
      <xdr:nvSpPr>
        <xdr:cNvPr id="62" name="Retângulo de cantos arredondados 50">
          <a:extLst>
            <a:ext uri="{FF2B5EF4-FFF2-40B4-BE49-F238E27FC236}">
              <a16:creationId xmlns:a16="http://schemas.microsoft.com/office/drawing/2014/main" xmlns="" id="{C21D1AF3-8CBB-4595-85C3-D78E120A4B97}"/>
            </a:ext>
          </a:extLst>
        </xdr:cNvPr>
        <xdr:cNvSpPr/>
      </xdr:nvSpPr>
      <xdr:spPr>
        <a:xfrm>
          <a:off x="8267702" y="916024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61</xdr:row>
      <xdr:rowOff>203690</xdr:rowOff>
    </xdr:from>
    <xdr:to>
      <xdr:col>6</xdr:col>
      <xdr:colOff>973017</xdr:colOff>
      <xdr:row>61</xdr:row>
      <xdr:rowOff>279890</xdr:rowOff>
    </xdr:to>
    <xdr:sp macro="" textlink="">
      <xdr:nvSpPr>
        <xdr:cNvPr id="63" name="Retângulo de cantos arredondados 51">
          <a:extLst>
            <a:ext uri="{FF2B5EF4-FFF2-40B4-BE49-F238E27FC236}">
              <a16:creationId xmlns:a16="http://schemas.microsoft.com/office/drawing/2014/main" xmlns="" id="{21BDD019-794D-42DF-9BF9-CB9321B2EF78}"/>
            </a:ext>
          </a:extLst>
        </xdr:cNvPr>
        <xdr:cNvSpPr/>
      </xdr:nvSpPr>
      <xdr:spPr>
        <a:xfrm>
          <a:off x="8252918" y="1041897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63</xdr:row>
      <xdr:rowOff>216878</xdr:rowOff>
    </xdr:from>
    <xdr:to>
      <xdr:col>6</xdr:col>
      <xdr:colOff>964225</xdr:colOff>
      <xdr:row>63</xdr:row>
      <xdr:rowOff>293078</xdr:rowOff>
    </xdr:to>
    <xdr:sp macro="" textlink="">
      <xdr:nvSpPr>
        <xdr:cNvPr id="74" name="Retângulo de cantos arredondados 52">
          <a:extLst>
            <a:ext uri="{FF2B5EF4-FFF2-40B4-BE49-F238E27FC236}">
              <a16:creationId xmlns:a16="http://schemas.microsoft.com/office/drawing/2014/main" xmlns="" id="{6DE83FDC-1D95-4AAB-859A-B57F6E180267}"/>
            </a:ext>
          </a:extLst>
        </xdr:cNvPr>
        <xdr:cNvSpPr/>
      </xdr:nvSpPr>
      <xdr:spPr>
        <a:xfrm>
          <a:off x="8244126" y="1072687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65</xdr:row>
      <xdr:rowOff>200759</xdr:rowOff>
    </xdr:from>
    <xdr:to>
      <xdr:col>6</xdr:col>
      <xdr:colOff>970087</xdr:colOff>
      <xdr:row>65</xdr:row>
      <xdr:rowOff>276959</xdr:rowOff>
    </xdr:to>
    <xdr:sp macro="" textlink="">
      <xdr:nvSpPr>
        <xdr:cNvPr id="75" name="Retângulo de cantos arredondados 53">
          <a:extLst>
            <a:ext uri="{FF2B5EF4-FFF2-40B4-BE49-F238E27FC236}">
              <a16:creationId xmlns:a16="http://schemas.microsoft.com/office/drawing/2014/main" xmlns="" id="{3CA7C6C5-F196-4702-88B6-00CEFA89EB25}"/>
            </a:ext>
          </a:extLst>
        </xdr:cNvPr>
        <xdr:cNvSpPr/>
      </xdr:nvSpPr>
      <xdr:spPr>
        <a:xfrm>
          <a:off x="8249988" y="1104357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72</xdr:row>
      <xdr:rowOff>181279</xdr:rowOff>
    </xdr:from>
    <xdr:to>
      <xdr:col>6</xdr:col>
      <xdr:colOff>973017</xdr:colOff>
      <xdr:row>72</xdr:row>
      <xdr:rowOff>257479</xdr:rowOff>
    </xdr:to>
    <xdr:sp macro="" textlink="">
      <xdr:nvSpPr>
        <xdr:cNvPr id="76" name="Retângulo de cantos arredondados 54">
          <a:extLst>
            <a:ext uri="{FF2B5EF4-FFF2-40B4-BE49-F238E27FC236}">
              <a16:creationId xmlns:a16="http://schemas.microsoft.com/office/drawing/2014/main" xmlns="" id="{29F780A9-C012-49C1-8B70-2760828DE0CF}"/>
            </a:ext>
          </a:extLst>
        </xdr:cNvPr>
        <xdr:cNvSpPr/>
      </xdr:nvSpPr>
      <xdr:spPr>
        <a:xfrm>
          <a:off x="8252918" y="121413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74</xdr:row>
      <xdr:rowOff>216878</xdr:rowOff>
    </xdr:from>
    <xdr:to>
      <xdr:col>6</xdr:col>
      <xdr:colOff>964225</xdr:colOff>
      <xdr:row>74</xdr:row>
      <xdr:rowOff>293078</xdr:rowOff>
    </xdr:to>
    <xdr:sp macro="" textlink="">
      <xdr:nvSpPr>
        <xdr:cNvPr id="77" name="Retângulo de cantos arredondados 55">
          <a:extLst>
            <a:ext uri="{FF2B5EF4-FFF2-40B4-BE49-F238E27FC236}">
              <a16:creationId xmlns:a16="http://schemas.microsoft.com/office/drawing/2014/main" xmlns="" id="{A6EBD5A3-54C2-4215-A865-CF0A942B0853}"/>
            </a:ext>
          </a:extLst>
        </xdr:cNvPr>
        <xdr:cNvSpPr/>
      </xdr:nvSpPr>
      <xdr:spPr>
        <a:xfrm>
          <a:off x="8244126" y="1245258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76</xdr:row>
      <xdr:rowOff>200759</xdr:rowOff>
    </xdr:from>
    <xdr:to>
      <xdr:col>6</xdr:col>
      <xdr:colOff>970087</xdr:colOff>
      <xdr:row>76</xdr:row>
      <xdr:rowOff>276959</xdr:rowOff>
    </xdr:to>
    <xdr:sp macro="" textlink="">
      <xdr:nvSpPr>
        <xdr:cNvPr id="78" name="Retângulo de cantos arredondados 56">
          <a:extLst>
            <a:ext uri="{FF2B5EF4-FFF2-40B4-BE49-F238E27FC236}">
              <a16:creationId xmlns:a16="http://schemas.microsoft.com/office/drawing/2014/main" xmlns="" id="{813F1CA5-D70D-47C1-8883-7F04BB3B033A}"/>
            </a:ext>
          </a:extLst>
        </xdr:cNvPr>
        <xdr:cNvSpPr/>
      </xdr:nvSpPr>
      <xdr:spPr>
        <a:xfrm>
          <a:off x="8249988" y="127692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100296</xdr:colOff>
      <xdr:row>68</xdr:row>
      <xdr:rowOff>180975</xdr:rowOff>
    </xdr:from>
    <xdr:to>
      <xdr:col>6</xdr:col>
      <xdr:colOff>967071</xdr:colOff>
      <xdr:row>68</xdr:row>
      <xdr:rowOff>257175</xdr:rowOff>
    </xdr:to>
    <xdr:sp macro="" textlink="">
      <xdr:nvSpPr>
        <xdr:cNvPr id="79" name="Retângulo de cantos arredondados 57">
          <a:extLst>
            <a:ext uri="{FF2B5EF4-FFF2-40B4-BE49-F238E27FC236}">
              <a16:creationId xmlns:a16="http://schemas.microsoft.com/office/drawing/2014/main" xmlns="" id="{A8D70B22-8F51-401F-9F0D-C37B2F19D8A5}"/>
            </a:ext>
          </a:extLst>
        </xdr:cNvPr>
        <xdr:cNvSpPr/>
      </xdr:nvSpPr>
      <xdr:spPr>
        <a:xfrm>
          <a:off x="8246972" y="1151348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109821</xdr:colOff>
      <xdr:row>70</xdr:row>
      <xdr:rowOff>180975</xdr:rowOff>
    </xdr:from>
    <xdr:to>
      <xdr:col>6</xdr:col>
      <xdr:colOff>976596</xdr:colOff>
      <xdr:row>70</xdr:row>
      <xdr:rowOff>257175</xdr:rowOff>
    </xdr:to>
    <xdr:sp macro="" textlink="">
      <xdr:nvSpPr>
        <xdr:cNvPr id="80" name="Retângulo de cantos arredondados 58">
          <a:extLst>
            <a:ext uri="{FF2B5EF4-FFF2-40B4-BE49-F238E27FC236}">
              <a16:creationId xmlns:a16="http://schemas.microsoft.com/office/drawing/2014/main" xmlns="" id="{54A6A076-532F-4C8F-80E3-CFB2A4C8A04B}"/>
            </a:ext>
          </a:extLst>
        </xdr:cNvPr>
        <xdr:cNvSpPr/>
      </xdr:nvSpPr>
      <xdr:spPr>
        <a:xfrm>
          <a:off x="8256497" y="1182724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78</xdr:row>
      <xdr:rowOff>203690</xdr:rowOff>
    </xdr:from>
    <xdr:to>
      <xdr:col>6</xdr:col>
      <xdr:colOff>973017</xdr:colOff>
      <xdr:row>78</xdr:row>
      <xdr:rowOff>279890</xdr:rowOff>
    </xdr:to>
    <xdr:sp macro="" textlink="">
      <xdr:nvSpPr>
        <xdr:cNvPr id="81" name="Retângulo de cantos arredondados 59">
          <a:extLst>
            <a:ext uri="{FF2B5EF4-FFF2-40B4-BE49-F238E27FC236}">
              <a16:creationId xmlns:a16="http://schemas.microsoft.com/office/drawing/2014/main" xmlns="" id="{60A1AD94-8B0B-4F1F-9304-220721946385}"/>
            </a:ext>
          </a:extLst>
        </xdr:cNvPr>
        <xdr:cNvSpPr/>
      </xdr:nvSpPr>
      <xdr:spPr>
        <a:xfrm>
          <a:off x="8252918" y="1308597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80</xdr:row>
      <xdr:rowOff>216878</xdr:rowOff>
    </xdr:from>
    <xdr:to>
      <xdr:col>6</xdr:col>
      <xdr:colOff>964225</xdr:colOff>
      <xdr:row>80</xdr:row>
      <xdr:rowOff>293078</xdr:rowOff>
    </xdr:to>
    <xdr:sp macro="" textlink="">
      <xdr:nvSpPr>
        <xdr:cNvPr id="82" name="Retângulo de cantos arredondados 60">
          <a:extLst>
            <a:ext uri="{FF2B5EF4-FFF2-40B4-BE49-F238E27FC236}">
              <a16:creationId xmlns:a16="http://schemas.microsoft.com/office/drawing/2014/main" xmlns="" id="{D3B572FE-779C-472E-8588-0228E0188250}"/>
            </a:ext>
          </a:extLst>
        </xdr:cNvPr>
        <xdr:cNvSpPr/>
      </xdr:nvSpPr>
      <xdr:spPr>
        <a:xfrm>
          <a:off x="8244126" y="1339387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82</xdr:row>
      <xdr:rowOff>200759</xdr:rowOff>
    </xdr:from>
    <xdr:to>
      <xdr:col>6</xdr:col>
      <xdr:colOff>970087</xdr:colOff>
      <xdr:row>82</xdr:row>
      <xdr:rowOff>276959</xdr:rowOff>
    </xdr:to>
    <xdr:sp macro="" textlink="">
      <xdr:nvSpPr>
        <xdr:cNvPr id="83" name="Retângulo de cantos arredondados 61">
          <a:extLst>
            <a:ext uri="{FF2B5EF4-FFF2-40B4-BE49-F238E27FC236}">
              <a16:creationId xmlns:a16="http://schemas.microsoft.com/office/drawing/2014/main" xmlns="" id="{BB199DC9-90D3-4F9C-9AD6-2FC933358CD9}"/>
            </a:ext>
          </a:extLst>
        </xdr:cNvPr>
        <xdr:cNvSpPr/>
      </xdr:nvSpPr>
      <xdr:spPr>
        <a:xfrm>
          <a:off x="8249988" y="1371057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84</xdr:row>
      <xdr:rowOff>200759</xdr:rowOff>
    </xdr:from>
    <xdr:to>
      <xdr:col>6</xdr:col>
      <xdr:colOff>970087</xdr:colOff>
      <xdr:row>84</xdr:row>
      <xdr:rowOff>276959</xdr:rowOff>
    </xdr:to>
    <xdr:sp macro="" textlink="">
      <xdr:nvSpPr>
        <xdr:cNvPr id="84" name="Retângulo de cantos arredondados 62">
          <a:extLst>
            <a:ext uri="{FF2B5EF4-FFF2-40B4-BE49-F238E27FC236}">
              <a16:creationId xmlns:a16="http://schemas.microsoft.com/office/drawing/2014/main" xmlns="" id="{F86C489E-A745-475A-AFBC-5C6035268BD6}"/>
            </a:ext>
          </a:extLst>
        </xdr:cNvPr>
        <xdr:cNvSpPr/>
      </xdr:nvSpPr>
      <xdr:spPr>
        <a:xfrm>
          <a:off x="8249988" y="1402433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86</xdr:row>
      <xdr:rowOff>203690</xdr:rowOff>
    </xdr:from>
    <xdr:to>
      <xdr:col>6</xdr:col>
      <xdr:colOff>973017</xdr:colOff>
      <xdr:row>86</xdr:row>
      <xdr:rowOff>279890</xdr:rowOff>
    </xdr:to>
    <xdr:sp macro="" textlink="">
      <xdr:nvSpPr>
        <xdr:cNvPr id="85" name="Retângulo de cantos arredondados 63">
          <a:extLst>
            <a:ext uri="{FF2B5EF4-FFF2-40B4-BE49-F238E27FC236}">
              <a16:creationId xmlns:a16="http://schemas.microsoft.com/office/drawing/2014/main" xmlns="" id="{8C13F898-DF71-433C-9D6E-5271C9BEE876}"/>
            </a:ext>
          </a:extLst>
        </xdr:cNvPr>
        <xdr:cNvSpPr/>
      </xdr:nvSpPr>
      <xdr:spPr>
        <a:xfrm>
          <a:off x="8252918" y="1434103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88</xdr:row>
      <xdr:rowOff>216878</xdr:rowOff>
    </xdr:from>
    <xdr:to>
      <xdr:col>6</xdr:col>
      <xdr:colOff>964225</xdr:colOff>
      <xdr:row>88</xdr:row>
      <xdr:rowOff>293078</xdr:rowOff>
    </xdr:to>
    <xdr:sp macro="" textlink="">
      <xdr:nvSpPr>
        <xdr:cNvPr id="86" name="Retângulo de cantos arredondados 64">
          <a:extLst>
            <a:ext uri="{FF2B5EF4-FFF2-40B4-BE49-F238E27FC236}">
              <a16:creationId xmlns:a16="http://schemas.microsoft.com/office/drawing/2014/main" xmlns="" id="{83658B3B-C8AC-4BF1-BF56-61A8C1AB070E}"/>
            </a:ext>
          </a:extLst>
        </xdr:cNvPr>
        <xdr:cNvSpPr/>
      </xdr:nvSpPr>
      <xdr:spPr>
        <a:xfrm>
          <a:off x="8244126" y="1464893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90</xdr:row>
      <xdr:rowOff>200759</xdr:rowOff>
    </xdr:from>
    <xdr:to>
      <xdr:col>6</xdr:col>
      <xdr:colOff>970087</xdr:colOff>
      <xdr:row>90</xdr:row>
      <xdr:rowOff>276959</xdr:rowOff>
    </xdr:to>
    <xdr:sp macro="" textlink="">
      <xdr:nvSpPr>
        <xdr:cNvPr id="87" name="Retângulo de cantos arredondados 65">
          <a:extLst>
            <a:ext uri="{FF2B5EF4-FFF2-40B4-BE49-F238E27FC236}">
              <a16:creationId xmlns:a16="http://schemas.microsoft.com/office/drawing/2014/main" xmlns="" id="{584C5917-6157-4D0F-9499-E54667E08637}"/>
            </a:ext>
          </a:extLst>
        </xdr:cNvPr>
        <xdr:cNvSpPr/>
      </xdr:nvSpPr>
      <xdr:spPr>
        <a:xfrm>
          <a:off x="8249988" y="1496563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100297</xdr:colOff>
      <xdr:row>98</xdr:row>
      <xdr:rowOff>180975</xdr:rowOff>
    </xdr:from>
    <xdr:to>
      <xdr:col>6</xdr:col>
      <xdr:colOff>967072</xdr:colOff>
      <xdr:row>98</xdr:row>
      <xdr:rowOff>257175</xdr:rowOff>
    </xdr:to>
    <xdr:sp macro="" textlink="">
      <xdr:nvSpPr>
        <xdr:cNvPr id="88" name="Retângulo de cantos arredondados 68">
          <a:extLst>
            <a:ext uri="{FF2B5EF4-FFF2-40B4-BE49-F238E27FC236}">
              <a16:creationId xmlns:a16="http://schemas.microsoft.com/office/drawing/2014/main" xmlns="" id="{4BD9A444-20A5-499E-9522-BE0636256A3C}"/>
            </a:ext>
          </a:extLst>
        </xdr:cNvPr>
        <xdr:cNvSpPr/>
      </xdr:nvSpPr>
      <xdr:spPr>
        <a:xfrm>
          <a:off x="8246973" y="1621995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98614</xdr:colOff>
      <xdr:row>100</xdr:row>
      <xdr:rowOff>180975</xdr:rowOff>
    </xdr:from>
    <xdr:to>
      <xdr:col>7</xdr:col>
      <xdr:colOff>965389</xdr:colOff>
      <xdr:row>100</xdr:row>
      <xdr:rowOff>257175</xdr:rowOff>
    </xdr:to>
    <xdr:sp macro="" textlink="">
      <xdr:nvSpPr>
        <xdr:cNvPr id="89" name="Retângulo de cantos arredondados 69">
          <a:extLst>
            <a:ext uri="{FF2B5EF4-FFF2-40B4-BE49-F238E27FC236}">
              <a16:creationId xmlns:a16="http://schemas.microsoft.com/office/drawing/2014/main" xmlns="" id="{50C3558B-29B9-436C-879F-87F0C7AAD9AA}"/>
            </a:ext>
          </a:extLst>
        </xdr:cNvPr>
        <xdr:cNvSpPr/>
      </xdr:nvSpPr>
      <xdr:spPr>
        <a:xfrm>
          <a:off x="9769290" y="1653371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103</xdr:row>
      <xdr:rowOff>216878</xdr:rowOff>
    </xdr:from>
    <xdr:to>
      <xdr:col>7</xdr:col>
      <xdr:colOff>964227</xdr:colOff>
      <xdr:row>103</xdr:row>
      <xdr:rowOff>293078</xdr:rowOff>
    </xdr:to>
    <xdr:sp macro="" textlink="">
      <xdr:nvSpPr>
        <xdr:cNvPr id="90" name="Retângulo de cantos arredondados 70">
          <a:extLst>
            <a:ext uri="{FF2B5EF4-FFF2-40B4-BE49-F238E27FC236}">
              <a16:creationId xmlns:a16="http://schemas.microsoft.com/office/drawing/2014/main" xmlns="" id="{F6C47E45-F092-4BF4-9228-BAC99EB4072D}"/>
            </a:ext>
          </a:extLst>
        </xdr:cNvPr>
        <xdr:cNvSpPr/>
      </xdr:nvSpPr>
      <xdr:spPr>
        <a:xfrm>
          <a:off x="9768128" y="1700216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105</xdr:row>
      <xdr:rowOff>200759</xdr:rowOff>
    </xdr:from>
    <xdr:to>
      <xdr:col>7</xdr:col>
      <xdr:colOff>970089</xdr:colOff>
      <xdr:row>105</xdr:row>
      <xdr:rowOff>276959</xdr:rowOff>
    </xdr:to>
    <xdr:sp macro="" textlink="">
      <xdr:nvSpPr>
        <xdr:cNvPr id="91" name="Retângulo de cantos arredondados 71">
          <a:extLst>
            <a:ext uri="{FF2B5EF4-FFF2-40B4-BE49-F238E27FC236}">
              <a16:creationId xmlns:a16="http://schemas.microsoft.com/office/drawing/2014/main" xmlns="" id="{DFAFB300-631B-4430-B9D5-677A3722AEAD}"/>
            </a:ext>
          </a:extLst>
        </xdr:cNvPr>
        <xdr:cNvSpPr/>
      </xdr:nvSpPr>
      <xdr:spPr>
        <a:xfrm>
          <a:off x="9773990" y="1731886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106244</xdr:colOff>
      <xdr:row>107</xdr:row>
      <xdr:rowOff>203690</xdr:rowOff>
    </xdr:from>
    <xdr:to>
      <xdr:col>7</xdr:col>
      <xdr:colOff>973019</xdr:colOff>
      <xdr:row>107</xdr:row>
      <xdr:rowOff>279890</xdr:rowOff>
    </xdr:to>
    <xdr:sp macro="" textlink="">
      <xdr:nvSpPr>
        <xdr:cNvPr id="92" name="Retângulo de cantos arredondados 72">
          <a:extLst>
            <a:ext uri="{FF2B5EF4-FFF2-40B4-BE49-F238E27FC236}">
              <a16:creationId xmlns:a16="http://schemas.microsoft.com/office/drawing/2014/main" xmlns="" id="{1AC15F44-82EE-4CBF-981C-03D5C452362F}"/>
            </a:ext>
          </a:extLst>
        </xdr:cNvPr>
        <xdr:cNvSpPr/>
      </xdr:nvSpPr>
      <xdr:spPr>
        <a:xfrm>
          <a:off x="9776920" y="1763556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109</xdr:row>
      <xdr:rowOff>216878</xdr:rowOff>
    </xdr:from>
    <xdr:to>
      <xdr:col>7</xdr:col>
      <xdr:colOff>964227</xdr:colOff>
      <xdr:row>109</xdr:row>
      <xdr:rowOff>293078</xdr:rowOff>
    </xdr:to>
    <xdr:sp macro="" textlink="">
      <xdr:nvSpPr>
        <xdr:cNvPr id="93" name="Retângulo de cantos arredondados 73">
          <a:extLst>
            <a:ext uri="{FF2B5EF4-FFF2-40B4-BE49-F238E27FC236}">
              <a16:creationId xmlns:a16="http://schemas.microsoft.com/office/drawing/2014/main" xmlns="" id="{D2F8FBB1-3451-47FB-9FDC-0F40D968F0BF}"/>
            </a:ext>
          </a:extLst>
        </xdr:cNvPr>
        <xdr:cNvSpPr/>
      </xdr:nvSpPr>
      <xdr:spPr>
        <a:xfrm>
          <a:off x="9768128" y="1794346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111</xdr:row>
      <xdr:rowOff>200759</xdr:rowOff>
    </xdr:from>
    <xdr:to>
      <xdr:col>7</xdr:col>
      <xdr:colOff>970089</xdr:colOff>
      <xdr:row>111</xdr:row>
      <xdr:rowOff>276959</xdr:rowOff>
    </xdr:to>
    <xdr:sp macro="" textlink="">
      <xdr:nvSpPr>
        <xdr:cNvPr id="94" name="Retângulo de cantos arredondados 74">
          <a:extLst>
            <a:ext uri="{FF2B5EF4-FFF2-40B4-BE49-F238E27FC236}">
              <a16:creationId xmlns:a16="http://schemas.microsoft.com/office/drawing/2014/main" xmlns="" id="{BBE6B0B1-7F59-44E9-A7A4-247C95209459}"/>
            </a:ext>
          </a:extLst>
        </xdr:cNvPr>
        <xdr:cNvSpPr/>
      </xdr:nvSpPr>
      <xdr:spPr>
        <a:xfrm>
          <a:off x="9773990" y="1826015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113</xdr:row>
      <xdr:rowOff>200759</xdr:rowOff>
    </xdr:from>
    <xdr:to>
      <xdr:col>7</xdr:col>
      <xdr:colOff>970089</xdr:colOff>
      <xdr:row>113</xdr:row>
      <xdr:rowOff>276959</xdr:rowOff>
    </xdr:to>
    <xdr:sp macro="" textlink="">
      <xdr:nvSpPr>
        <xdr:cNvPr id="95" name="Retângulo de cantos arredondados 75">
          <a:extLst>
            <a:ext uri="{FF2B5EF4-FFF2-40B4-BE49-F238E27FC236}">
              <a16:creationId xmlns:a16="http://schemas.microsoft.com/office/drawing/2014/main" xmlns="" id="{7D69079B-F34D-4CEA-BCD8-B059A98D3C53}"/>
            </a:ext>
          </a:extLst>
        </xdr:cNvPr>
        <xdr:cNvSpPr/>
      </xdr:nvSpPr>
      <xdr:spPr>
        <a:xfrm>
          <a:off x="9773990" y="1857392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106244</xdr:colOff>
      <xdr:row>115</xdr:row>
      <xdr:rowOff>203690</xdr:rowOff>
    </xdr:from>
    <xdr:to>
      <xdr:col>7</xdr:col>
      <xdr:colOff>973019</xdr:colOff>
      <xdr:row>115</xdr:row>
      <xdr:rowOff>279890</xdr:rowOff>
    </xdr:to>
    <xdr:sp macro="" textlink="">
      <xdr:nvSpPr>
        <xdr:cNvPr id="96" name="Retângulo de cantos arredondados 76">
          <a:extLst>
            <a:ext uri="{FF2B5EF4-FFF2-40B4-BE49-F238E27FC236}">
              <a16:creationId xmlns:a16="http://schemas.microsoft.com/office/drawing/2014/main" xmlns="" id="{55747990-3AEC-4676-A4A1-F10DC90AAE29}"/>
            </a:ext>
          </a:extLst>
        </xdr:cNvPr>
        <xdr:cNvSpPr/>
      </xdr:nvSpPr>
      <xdr:spPr>
        <a:xfrm>
          <a:off x="9776920" y="1889061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117</xdr:row>
      <xdr:rowOff>216878</xdr:rowOff>
    </xdr:from>
    <xdr:to>
      <xdr:col>7</xdr:col>
      <xdr:colOff>964227</xdr:colOff>
      <xdr:row>117</xdr:row>
      <xdr:rowOff>293078</xdr:rowOff>
    </xdr:to>
    <xdr:sp macro="" textlink="">
      <xdr:nvSpPr>
        <xdr:cNvPr id="97" name="Retângulo de cantos arredondados 77">
          <a:extLst>
            <a:ext uri="{FF2B5EF4-FFF2-40B4-BE49-F238E27FC236}">
              <a16:creationId xmlns:a16="http://schemas.microsoft.com/office/drawing/2014/main" xmlns="" id="{5DD77623-3874-4FA9-B61F-E6C3B35919A0}"/>
            </a:ext>
          </a:extLst>
        </xdr:cNvPr>
        <xdr:cNvSpPr/>
      </xdr:nvSpPr>
      <xdr:spPr>
        <a:xfrm>
          <a:off x="9768128" y="1919852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105338</xdr:colOff>
      <xdr:row>100</xdr:row>
      <xdr:rowOff>176492</xdr:rowOff>
    </xdr:from>
    <xdr:to>
      <xdr:col>6</xdr:col>
      <xdr:colOff>972113</xdr:colOff>
      <xdr:row>100</xdr:row>
      <xdr:rowOff>252692</xdr:rowOff>
    </xdr:to>
    <xdr:sp macro="" textlink="">
      <xdr:nvSpPr>
        <xdr:cNvPr id="98" name="Retângulo de cantos arredondados 164">
          <a:extLst>
            <a:ext uri="{FF2B5EF4-FFF2-40B4-BE49-F238E27FC236}">
              <a16:creationId xmlns:a16="http://schemas.microsoft.com/office/drawing/2014/main" xmlns="" id="{A0195C0E-565C-4379-86A8-7C0881CF5172}"/>
            </a:ext>
          </a:extLst>
        </xdr:cNvPr>
        <xdr:cNvSpPr/>
      </xdr:nvSpPr>
      <xdr:spPr>
        <a:xfrm>
          <a:off x="8252014" y="1652923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84614</xdr:colOff>
      <xdr:row>98</xdr:row>
      <xdr:rowOff>176491</xdr:rowOff>
    </xdr:from>
    <xdr:to>
      <xdr:col>7</xdr:col>
      <xdr:colOff>951389</xdr:colOff>
      <xdr:row>98</xdr:row>
      <xdr:rowOff>252691</xdr:rowOff>
    </xdr:to>
    <xdr:sp macro="" textlink="">
      <xdr:nvSpPr>
        <xdr:cNvPr id="99" name="Retângulo de cantos arredondados 165">
          <a:extLst>
            <a:ext uri="{FF2B5EF4-FFF2-40B4-BE49-F238E27FC236}">
              <a16:creationId xmlns:a16="http://schemas.microsoft.com/office/drawing/2014/main" xmlns="" id="{98D125A3-9BC8-4521-8931-9E071EF83DE2}"/>
            </a:ext>
          </a:extLst>
        </xdr:cNvPr>
        <xdr:cNvSpPr/>
      </xdr:nvSpPr>
      <xdr:spPr>
        <a:xfrm>
          <a:off x="9755290" y="162154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104173</xdr:colOff>
      <xdr:row>103</xdr:row>
      <xdr:rowOff>212394</xdr:rowOff>
    </xdr:from>
    <xdr:to>
      <xdr:col>6</xdr:col>
      <xdr:colOff>970948</xdr:colOff>
      <xdr:row>103</xdr:row>
      <xdr:rowOff>288594</xdr:rowOff>
    </xdr:to>
    <xdr:sp macro="" textlink="">
      <xdr:nvSpPr>
        <xdr:cNvPr id="100" name="Retângulo de cantos arredondados 168">
          <a:extLst>
            <a:ext uri="{FF2B5EF4-FFF2-40B4-BE49-F238E27FC236}">
              <a16:creationId xmlns:a16="http://schemas.microsoft.com/office/drawing/2014/main" xmlns="" id="{0F9F2DDF-8319-4D72-BD9B-366F448195E9}"/>
            </a:ext>
          </a:extLst>
        </xdr:cNvPr>
        <xdr:cNvSpPr/>
      </xdr:nvSpPr>
      <xdr:spPr>
        <a:xfrm>
          <a:off x="8250849" y="1700721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105</xdr:row>
      <xdr:rowOff>196275</xdr:rowOff>
    </xdr:from>
    <xdr:to>
      <xdr:col>6</xdr:col>
      <xdr:colOff>976810</xdr:colOff>
      <xdr:row>105</xdr:row>
      <xdr:rowOff>272475</xdr:rowOff>
    </xdr:to>
    <xdr:sp macro="" textlink="">
      <xdr:nvSpPr>
        <xdr:cNvPr id="101" name="Retângulo de cantos arredondados 169">
          <a:extLst>
            <a:ext uri="{FF2B5EF4-FFF2-40B4-BE49-F238E27FC236}">
              <a16:creationId xmlns:a16="http://schemas.microsoft.com/office/drawing/2014/main" xmlns="" id="{1E21A12B-F51F-4A27-B7CC-A00B8554B64B}"/>
            </a:ext>
          </a:extLst>
        </xdr:cNvPr>
        <xdr:cNvSpPr/>
      </xdr:nvSpPr>
      <xdr:spPr>
        <a:xfrm>
          <a:off x="8256711" y="1731438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112965</xdr:colOff>
      <xdr:row>107</xdr:row>
      <xdr:rowOff>199206</xdr:rowOff>
    </xdr:from>
    <xdr:to>
      <xdr:col>6</xdr:col>
      <xdr:colOff>979740</xdr:colOff>
      <xdr:row>107</xdr:row>
      <xdr:rowOff>275406</xdr:rowOff>
    </xdr:to>
    <xdr:sp macro="" textlink="">
      <xdr:nvSpPr>
        <xdr:cNvPr id="102" name="Retângulo de cantos arredondados 170">
          <a:extLst>
            <a:ext uri="{FF2B5EF4-FFF2-40B4-BE49-F238E27FC236}">
              <a16:creationId xmlns:a16="http://schemas.microsoft.com/office/drawing/2014/main" xmlns="" id="{D0C16222-2349-4C52-90B4-B444D83F7E13}"/>
            </a:ext>
          </a:extLst>
        </xdr:cNvPr>
        <xdr:cNvSpPr/>
      </xdr:nvSpPr>
      <xdr:spPr>
        <a:xfrm>
          <a:off x="8259641" y="176310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104173</xdr:colOff>
      <xdr:row>109</xdr:row>
      <xdr:rowOff>212394</xdr:rowOff>
    </xdr:from>
    <xdr:to>
      <xdr:col>6</xdr:col>
      <xdr:colOff>970948</xdr:colOff>
      <xdr:row>109</xdr:row>
      <xdr:rowOff>288594</xdr:rowOff>
    </xdr:to>
    <xdr:sp macro="" textlink="">
      <xdr:nvSpPr>
        <xdr:cNvPr id="103" name="Retângulo de cantos arredondados 171">
          <a:extLst>
            <a:ext uri="{FF2B5EF4-FFF2-40B4-BE49-F238E27FC236}">
              <a16:creationId xmlns:a16="http://schemas.microsoft.com/office/drawing/2014/main" xmlns="" id="{97AB7C5A-BC47-4F78-A161-4F1D4919875A}"/>
            </a:ext>
          </a:extLst>
        </xdr:cNvPr>
        <xdr:cNvSpPr/>
      </xdr:nvSpPr>
      <xdr:spPr>
        <a:xfrm>
          <a:off x="8250849" y="1794850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111</xdr:row>
      <xdr:rowOff>196275</xdr:rowOff>
    </xdr:from>
    <xdr:to>
      <xdr:col>6</xdr:col>
      <xdr:colOff>976810</xdr:colOff>
      <xdr:row>111</xdr:row>
      <xdr:rowOff>272475</xdr:rowOff>
    </xdr:to>
    <xdr:sp macro="" textlink="">
      <xdr:nvSpPr>
        <xdr:cNvPr id="104" name="Retângulo de cantos arredondados 172">
          <a:extLst>
            <a:ext uri="{FF2B5EF4-FFF2-40B4-BE49-F238E27FC236}">
              <a16:creationId xmlns:a16="http://schemas.microsoft.com/office/drawing/2014/main" xmlns="" id="{79BBB171-2526-406E-9EE2-E5C178FC4B71}"/>
            </a:ext>
          </a:extLst>
        </xdr:cNvPr>
        <xdr:cNvSpPr/>
      </xdr:nvSpPr>
      <xdr:spPr>
        <a:xfrm>
          <a:off x="8256711" y="1825567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113</xdr:row>
      <xdr:rowOff>196275</xdr:rowOff>
    </xdr:from>
    <xdr:to>
      <xdr:col>6</xdr:col>
      <xdr:colOff>976810</xdr:colOff>
      <xdr:row>113</xdr:row>
      <xdr:rowOff>272475</xdr:rowOff>
    </xdr:to>
    <xdr:sp macro="" textlink="">
      <xdr:nvSpPr>
        <xdr:cNvPr id="105" name="Retângulo de cantos arredondados 173">
          <a:extLst>
            <a:ext uri="{FF2B5EF4-FFF2-40B4-BE49-F238E27FC236}">
              <a16:creationId xmlns:a16="http://schemas.microsoft.com/office/drawing/2014/main" xmlns="" id="{0351C737-127C-4E86-BEA4-E09580C7CDEE}"/>
            </a:ext>
          </a:extLst>
        </xdr:cNvPr>
        <xdr:cNvSpPr/>
      </xdr:nvSpPr>
      <xdr:spPr>
        <a:xfrm>
          <a:off x="8256711" y="1856944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112965</xdr:colOff>
      <xdr:row>115</xdr:row>
      <xdr:rowOff>199206</xdr:rowOff>
    </xdr:from>
    <xdr:to>
      <xdr:col>6</xdr:col>
      <xdr:colOff>979740</xdr:colOff>
      <xdr:row>115</xdr:row>
      <xdr:rowOff>275406</xdr:rowOff>
    </xdr:to>
    <xdr:sp macro="" textlink="">
      <xdr:nvSpPr>
        <xdr:cNvPr id="106" name="Retângulo de cantos arredondados 174">
          <a:extLst>
            <a:ext uri="{FF2B5EF4-FFF2-40B4-BE49-F238E27FC236}">
              <a16:creationId xmlns:a16="http://schemas.microsoft.com/office/drawing/2014/main" xmlns="" id="{841DEC35-57D1-40C9-AA79-DAAFCACF4C0B}"/>
            </a:ext>
          </a:extLst>
        </xdr:cNvPr>
        <xdr:cNvSpPr/>
      </xdr:nvSpPr>
      <xdr:spPr>
        <a:xfrm>
          <a:off x="8259641" y="1888613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104173</xdr:colOff>
      <xdr:row>117</xdr:row>
      <xdr:rowOff>212394</xdr:rowOff>
    </xdr:from>
    <xdr:to>
      <xdr:col>6</xdr:col>
      <xdr:colOff>970948</xdr:colOff>
      <xdr:row>117</xdr:row>
      <xdr:rowOff>288594</xdr:rowOff>
    </xdr:to>
    <xdr:sp macro="" textlink="">
      <xdr:nvSpPr>
        <xdr:cNvPr id="107" name="Retângulo de cantos arredondados 175">
          <a:extLst>
            <a:ext uri="{FF2B5EF4-FFF2-40B4-BE49-F238E27FC236}">
              <a16:creationId xmlns:a16="http://schemas.microsoft.com/office/drawing/2014/main" xmlns="" id="{CB41E07B-3368-4350-83BD-75F26997D0F3}"/>
            </a:ext>
          </a:extLst>
        </xdr:cNvPr>
        <xdr:cNvSpPr/>
      </xdr:nvSpPr>
      <xdr:spPr>
        <a:xfrm>
          <a:off x="8250849" y="1920356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105339</xdr:colOff>
      <xdr:row>95</xdr:row>
      <xdr:rowOff>176491</xdr:rowOff>
    </xdr:from>
    <xdr:to>
      <xdr:col>6</xdr:col>
      <xdr:colOff>972114</xdr:colOff>
      <xdr:row>95</xdr:row>
      <xdr:rowOff>252691</xdr:rowOff>
    </xdr:to>
    <xdr:sp macro="" textlink="">
      <xdr:nvSpPr>
        <xdr:cNvPr id="108" name="Retângulo de cantos arredondados 180">
          <a:extLst>
            <a:ext uri="{FF2B5EF4-FFF2-40B4-BE49-F238E27FC236}">
              <a16:creationId xmlns:a16="http://schemas.microsoft.com/office/drawing/2014/main" xmlns="" id="{C1DDBC81-684F-4753-BB69-38645D760684}"/>
            </a:ext>
          </a:extLst>
        </xdr:cNvPr>
        <xdr:cNvSpPr/>
      </xdr:nvSpPr>
      <xdr:spPr>
        <a:xfrm>
          <a:off x="8252015" y="1574482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112061</xdr:colOff>
      <xdr:row>93</xdr:row>
      <xdr:rowOff>183206</xdr:rowOff>
    </xdr:from>
    <xdr:to>
      <xdr:col>6</xdr:col>
      <xdr:colOff>978836</xdr:colOff>
      <xdr:row>93</xdr:row>
      <xdr:rowOff>259406</xdr:rowOff>
    </xdr:to>
    <xdr:sp macro="" textlink="">
      <xdr:nvSpPr>
        <xdr:cNvPr id="109" name="Retângulo de cantos arredondados 181">
          <a:extLst>
            <a:ext uri="{FF2B5EF4-FFF2-40B4-BE49-F238E27FC236}">
              <a16:creationId xmlns:a16="http://schemas.microsoft.com/office/drawing/2014/main" xmlns="" id="{89B0CE37-FFDE-406B-83A8-2D64EFAD545A}"/>
            </a:ext>
          </a:extLst>
        </xdr:cNvPr>
        <xdr:cNvSpPr/>
      </xdr:nvSpPr>
      <xdr:spPr>
        <a:xfrm>
          <a:off x="8258737" y="1543777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112107</xdr:colOff>
      <xdr:row>120</xdr:row>
      <xdr:rowOff>158263</xdr:rowOff>
    </xdr:from>
    <xdr:to>
      <xdr:col>8</xdr:col>
      <xdr:colOff>978882</xdr:colOff>
      <xdr:row>120</xdr:row>
      <xdr:rowOff>234463</xdr:rowOff>
    </xdr:to>
    <xdr:sp macro="" textlink="">
      <xdr:nvSpPr>
        <xdr:cNvPr id="2" name="Retângulo de cantos arredondados 36">
          <a:extLst>
            <a:ext uri="{FF2B5EF4-FFF2-40B4-BE49-F238E27FC236}">
              <a16:creationId xmlns:a16="http://schemas.microsoft.com/office/drawing/2014/main" xmlns="" id="{C724C07C-DF7D-4655-B60B-7E28ED9413AD}"/>
            </a:ext>
          </a:extLst>
        </xdr:cNvPr>
        <xdr:cNvSpPr/>
      </xdr:nvSpPr>
      <xdr:spPr>
        <a:xfrm>
          <a:off x="10080860" y="20526075"/>
          <a:ext cx="866775" cy="762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103307</xdr:colOff>
      <xdr:row>122</xdr:row>
      <xdr:rowOff>171452</xdr:rowOff>
    </xdr:from>
    <xdr:to>
      <xdr:col>8</xdr:col>
      <xdr:colOff>970082</xdr:colOff>
      <xdr:row>122</xdr:row>
      <xdr:rowOff>247652</xdr:rowOff>
    </xdr:to>
    <xdr:sp macro="" textlink="">
      <xdr:nvSpPr>
        <xdr:cNvPr id="3" name="Retângulo de cantos arredondados 37">
          <a:extLst>
            <a:ext uri="{FF2B5EF4-FFF2-40B4-BE49-F238E27FC236}">
              <a16:creationId xmlns:a16="http://schemas.microsoft.com/office/drawing/2014/main" xmlns="" id="{4EEEC25D-C503-422A-865A-27C5856FA1DC}"/>
            </a:ext>
          </a:extLst>
        </xdr:cNvPr>
        <xdr:cNvSpPr/>
      </xdr:nvSpPr>
      <xdr:spPr>
        <a:xfrm>
          <a:off x="10072060" y="2087230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98614</xdr:colOff>
      <xdr:row>100</xdr:row>
      <xdr:rowOff>180975</xdr:rowOff>
    </xdr:from>
    <xdr:to>
      <xdr:col>8</xdr:col>
      <xdr:colOff>965389</xdr:colOff>
      <xdr:row>100</xdr:row>
      <xdr:rowOff>257175</xdr:rowOff>
    </xdr:to>
    <xdr:sp macro="" textlink="">
      <xdr:nvSpPr>
        <xdr:cNvPr id="4" name="Retângulo de cantos arredondados 69">
          <a:extLst>
            <a:ext uri="{FF2B5EF4-FFF2-40B4-BE49-F238E27FC236}">
              <a16:creationId xmlns:a16="http://schemas.microsoft.com/office/drawing/2014/main" xmlns="" id="{DCCC720B-A199-48FC-A9DD-FC51796D56DE}"/>
            </a:ext>
          </a:extLst>
        </xdr:cNvPr>
        <xdr:cNvSpPr/>
      </xdr:nvSpPr>
      <xdr:spPr>
        <a:xfrm>
          <a:off x="10067367" y="1712695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103</xdr:row>
      <xdr:rowOff>216878</xdr:rowOff>
    </xdr:from>
    <xdr:to>
      <xdr:col>8</xdr:col>
      <xdr:colOff>964227</xdr:colOff>
      <xdr:row>103</xdr:row>
      <xdr:rowOff>293078</xdr:rowOff>
    </xdr:to>
    <xdr:sp macro="" textlink="">
      <xdr:nvSpPr>
        <xdr:cNvPr id="5" name="Retângulo de cantos arredondados 70">
          <a:extLst>
            <a:ext uri="{FF2B5EF4-FFF2-40B4-BE49-F238E27FC236}">
              <a16:creationId xmlns:a16="http://schemas.microsoft.com/office/drawing/2014/main" xmlns="" id="{560825B0-07C4-4D19-BEEF-432D48E885A0}"/>
            </a:ext>
          </a:extLst>
        </xdr:cNvPr>
        <xdr:cNvSpPr/>
      </xdr:nvSpPr>
      <xdr:spPr>
        <a:xfrm>
          <a:off x="10066205" y="176433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105</xdr:row>
      <xdr:rowOff>200759</xdr:rowOff>
    </xdr:from>
    <xdr:to>
      <xdr:col>8</xdr:col>
      <xdr:colOff>970089</xdr:colOff>
      <xdr:row>105</xdr:row>
      <xdr:rowOff>276959</xdr:rowOff>
    </xdr:to>
    <xdr:sp macro="" textlink="">
      <xdr:nvSpPr>
        <xdr:cNvPr id="6" name="Retângulo de cantos arredondados 71">
          <a:extLst>
            <a:ext uri="{FF2B5EF4-FFF2-40B4-BE49-F238E27FC236}">
              <a16:creationId xmlns:a16="http://schemas.microsoft.com/office/drawing/2014/main" xmlns="" id="{6BA58C72-A794-4066-8857-0A61017CCA74}"/>
            </a:ext>
          </a:extLst>
        </xdr:cNvPr>
        <xdr:cNvSpPr/>
      </xdr:nvSpPr>
      <xdr:spPr>
        <a:xfrm>
          <a:off x="10072067" y="1798315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106244</xdr:colOff>
      <xdr:row>107</xdr:row>
      <xdr:rowOff>203690</xdr:rowOff>
    </xdr:from>
    <xdr:to>
      <xdr:col>8</xdr:col>
      <xdr:colOff>973019</xdr:colOff>
      <xdr:row>107</xdr:row>
      <xdr:rowOff>279890</xdr:rowOff>
    </xdr:to>
    <xdr:sp macro="" textlink="">
      <xdr:nvSpPr>
        <xdr:cNvPr id="7" name="Retângulo de cantos arredondados 72">
          <a:extLst>
            <a:ext uri="{FF2B5EF4-FFF2-40B4-BE49-F238E27FC236}">
              <a16:creationId xmlns:a16="http://schemas.microsoft.com/office/drawing/2014/main" xmlns="" id="{D82CFCB5-80AE-4155-B8B0-150082CA4172}"/>
            </a:ext>
          </a:extLst>
        </xdr:cNvPr>
        <xdr:cNvSpPr/>
      </xdr:nvSpPr>
      <xdr:spPr>
        <a:xfrm>
          <a:off x="10074997" y="1831911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109</xdr:row>
      <xdr:rowOff>216878</xdr:rowOff>
    </xdr:from>
    <xdr:to>
      <xdr:col>8</xdr:col>
      <xdr:colOff>964227</xdr:colOff>
      <xdr:row>109</xdr:row>
      <xdr:rowOff>293078</xdr:rowOff>
    </xdr:to>
    <xdr:sp macro="" textlink="">
      <xdr:nvSpPr>
        <xdr:cNvPr id="8" name="Retângulo de cantos arredondados 73">
          <a:extLst>
            <a:ext uri="{FF2B5EF4-FFF2-40B4-BE49-F238E27FC236}">
              <a16:creationId xmlns:a16="http://schemas.microsoft.com/office/drawing/2014/main" xmlns="" id="{9F1AE381-9768-46C8-936A-60D8DCDEF8DC}"/>
            </a:ext>
          </a:extLst>
        </xdr:cNvPr>
        <xdr:cNvSpPr/>
      </xdr:nvSpPr>
      <xdr:spPr>
        <a:xfrm>
          <a:off x="10066205" y="1866534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111</xdr:row>
      <xdr:rowOff>200759</xdr:rowOff>
    </xdr:from>
    <xdr:to>
      <xdr:col>8</xdr:col>
      <xdr:colOff>970089</xdr:colOff>
      <xdr:row>111</xdr:row>
      <xdr:rowOff>276959</xdr:rowOff>
    </xdr:to>
    <xdr:sp macro="" textlink="">
      <xdr:nvSpPr>
        <xdr:cNvPr id="9" name="Retângulo de cantos arredondados 74">
          <a:extLst>
            <a:ext uri="{FF2B5EF4-FFF2-40B4-BE49-F238E27FC236}">
              <a16:creationId xmlns:a16="http://schemas.microsoft.com/office/drawing/2014/main" xmlns="" id="{88BA316E-9C1C-4A5B-878A-CB86F7E4E59B}"/>
            </a:ext>
          </a:extLst>
        </xdr:cNvPr>
        <xdr:cNvSpPr/>
      </xdr:nvSpPr>
      <xdr:spPr>
        <a:xfrm>
          <a:off x="10072067" y="1900512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113</xdr:row>
      <xdr:rowOff>200759</xdr:rowOff>
    </xdr:from>
    <xdr:to>
      <xdr:col>8</xdr:col>
      <xdr:colOff>970089</xdr:colOff>
      <xdr:row>113</xdr:row>
      <xdr:rowOff>276959</xdr:rowOff>
    </xdr:to>
    <xdr:sp macro="" textlink="">
      <xdr:nvSpPr>
        <xdr:cNvPr id="10" name="Retângulo de cantos arredondados 75">
          <a:extLst>
            <a:ext uri="{FF2B5EF4-FFF2-40B4-BE49-F238E27FC236}">
              <a16:creationId xmlns:a16="http://schemas.microsoft.com/office/drawing/2014/main" xmlns="" id="{86343890-D179-4EF7-BB46-6EA55110A594}"/>
            </a:ext>
          </a:extLst>
        </xdr:cNvPr>
        <xdr:cNvSpPr/>
      </xdr:nvSpPr>
      <xdr:spPr>
        <a:xfrm>
          <a:off x="10072067" y="1934578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106244</xdr:colOff>
      <xdr:row>115</xdr:row>
      <xdr:rowOff>203690</xdr:rowOff>
    </xdr:from>
    <xdr:to>
      <xdr:col>8</xdr:col>
      <xdr:colOff>973019</xdr:colOff>
      <xdr:row>115</xdr:row>
      <xdr:rowOff>279890</xdr:rowOff>
    </xdr:to>
    <xdr:sp macro="" textlink="">
      <xdr:nvSpPr>
        <xdr:cNvPr id="11" name="Retângulo de cantos arredondados 76">
          <a:extLst>
            <a:ext uri="{FF2B5EF4-FFF2-40B4-BE49-F238E27FC236}">
              <a16:creationId xmlns:a16="http://schemas.microsoft.com/office/drawing/2014/main" xmlns="" id="{F7E3B5B1-FF18-498C-BBA1-F31AFE9B4596}"/>
            </a:ext>
          </a:extLst>
        </xdr:cNvPr>
        <xdr:cNvSpPr/>
      </xdr:nvSpPr>
      <xdr:spPr>
        <a:xfrm>
          <a:off x="10074997" y="1968175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117</xdr:row>
      <xdr:rowOff>216878</xdr:rowOff>
    </xdr:from>
    <xdr:to>
      <xdr:col>8</xdr:col>
      <xdr:colOff>964227</xdr:colOff>
      <xdr:row>117</xdr:row>
      <xdr:rowOff>293078</xdr:rowOff>
    </xdr:to>
    <xdr:sp macro="" textlink="">
      <xdr:nvSpPr>
        <xdr:cNvPr id="12" name="Retângulo de cantos arredondados 77">
          <a:extLst>
            <a:ext uri="{FF2B5EF4-FFF2-40B4-BE49-F238E27FC236}">
              <a16:creationId xmlns:a16="http://schemas.microsoft.com/office/drawing/2014/main" xmlns="" id="{DB16567D-8264-4C6E-9948-E3F7A6CCFD42}"/>
            </a:ext>
          </a:extLst>
        </xdr:cNvPr>
        <xdr:cNvSpPr/>
      </xdr:nvSpPr>
      <xdr:spPr>
        <a:xfrm>
          <a:off x="10066205" y="2002798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84614</xdr:colOff>
      <xdr:row>98</xdr:row>
      <xdr:rowOff>176491</xdr:rowOff>
    </xdr:from>
    <xdr:to>
      <xdr:col>8</xdr:col>
      <xdr:colOff>951389</xdr:colOff>
      <xdr:row>98</xdr:row>
      <xdr:rowOff>252691</xdr:rowOff>
    </xdr:to>
    <xdr:sp macro="" textlink="">
      <xdr:nvSpPr>
        <xdr:cNvPr id="13" name="Retângulo de cantos arredondados 165">
          <a:extLst>
            <a:ext uri="{FF2B5EF4-FFF2-40B4-BE49-F238E27FC236}">
              <a16:creationId xmlns:a16="http://schemas.microsoft.com/office/drawing/2014/main" xmlns="" id="{27FF6F4C-CFBF-47D9-888B-5128B449A9B0}"/>
            </a:ext>
          </a:extLst>
        </xdr:cNvPr>
        <xdr:cNvSpPr/>
      </xdr:nvSpPr>
      <xdr:spPr>
        <a:xfrm>
          <a:off x="10053367" y="1678943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106242</xdr:colOff>
      <xdr:row>55</xdr:row>
      <xdr:rowOff>203690</xdr:rowOff>
    </xdr:from>
    <xdr:to>
      <xdr:col>9</xdr:col>
      <xdr:colOff>973017</xdr:colOff>
      <xdr:row>55</xdr:row>
      <xdr:rowOff>279890</xdr:rowOff>
    </xdr:to>
    <xdr:sp macro="" textlink="">
      <xdr:nvSpPr>
        <xdr:cNvPr id="19" name="Retângulo de cantos arredondados 33">
          <a:extLst>
            <a:ext uri="{FF2B5EF4-FFF2-40B4-BE49-F238E27FC236}">
              <a16:creationId xmlns:a16="http://schemas.microsoft.com/office/drawing/2014/main" xmlns="" id="{553C3ABB-08A6-4F33-A1FA-9B23DB09CC8B}"/>
            </a:ext>
          </a:extLst>
        </xdr:cNvPr>
        <xdr:cNvSpPr/>
      </xdr:nvSpPr>
      <xdr:spPr>
        <a:xfrm>
          <a:off x="11607960" y="946199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57</xdr:row>
      <xdr:rowOff>216878</xdr:rowOff>
    </xdr:from>
    <xdr:to>
      <xdr:col>9</xdr:col>
      <xdr:colOff>964225</xdr:colOff>
      <xdr:row>57</xdr:row>
      <xdr:rowOff>293078</xdr:rowOff>
    </xdr:to>
    <xdr:sp macro="" textlink="">
      <xdr:nvSpPr>
        <xdr:cNvPr id="20" name="Retângulo de cantos arredondados 34">
          <a:extLst>
            <a:ext uri="{FF2B5EF4-FFF2-40B4-BE49-F238E27FC236}">
              <a16:creationId xmlns:a16="http://schemas.microsoft.com/office/drawing/2014/main" xmlns="" id="{136AD89E-0422-4460-A21E-A1B47AD6EB94}"/>
            </a:ext>
          </a:extLst>
        </xdr:cNvPr>
        <xdr:cNvSpPr/>
      </xdr:nvSpPr>
      <xdr:spPr>
        <a:xfrm>
          <a:off x="11599168" y="98082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59</xdr:row>
      <xdr:rowOff>200759</xdr:rowOff>
    </xdr:from>
    <xdr:to>
      <xdr:col>9</xdr:col>
      <xdr:colOff>970087</xdr:colOff>
      <xdr:row>59</xdr:row>
      <xdr:rowOff>276959</xdr:rowOff>
    </xdr:to>
    <xdr:sp macro="" textlink="">
      <xdr:nvSpPr>
        <xdr:cNvPr id="21" name="Retângulo de cantos arredondados 35">
          <a:extLst>
            <a:ext uri="{FF2B5EF4-FFF2-40B4-BE49-F238E27FC236}">
              <a16:creationId xmlns:a16="http://schemas.microsoft.com/office/drawing/2014/main" xmlns="" id="{14CD11A2-76E8-4727-9DBA-7ABCF5255667}"/>
            </a:ext>
          </a:extLst>
        </xdr:cNvPr>
        <xdr:cNvSpPr/>
      </xdr:nvSpPr>
      <xdr:spPr>
        <a:xfrm>
          <a:off x="11605030" y="1014799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112107</xdr:colOff>
      <xdr:row>120</xdr:row>
      <xdr:rowOff>158263</xdr:rowOff>
    </xdr:from>
    <xdr:to>
      <xdr:col>10</xdr:col>
      <xdr:colOff>978882</xdr:colOff>
      <xdr:row>120</xdr:row>
      <xdr:rowOff>234463</xdr:rowOff>
    </xdr:to>
    <xdr:sp macro="" textlink="">
      <xdr:nvSpPr>
        <xdr:cNvPr id="22" name="Retângulo de cantos arredondados 36">
          <a:extLst>
            <a:ext uri="{FF2B5EF4-FFF2-40B4-BE49-F238E27FC236}">
              <a16:creationId xmlns:a16="http://schemas.microsoft.com/office/drawing/2014/main" xmlns="" id="{9DE0D962-F2D5-4723-A63C-69C01E3D6EAE}"/>
            </a:ext>
          </a:extLst>
        </xdr:cNvPr>
        <xdr:cNvSpPr/>
      </xdr:nvSpPr>
      <xdr:spPr>
        <a:xfrm>
          <a:off x="13182648" y="20526075"/>
          <a:ext cx="866775" cy="762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103307</xdr:colOff>
      <xdr:row>122</xdr:row>
      <xdr:rowOff>171452</xdr:rowOff>
    </xdr:from>
    <xdr:to>
      <xdr:col>10</xdr:col>
      <xdr:colOff>970082</xdr:colOff>
      <xdr:row>122</xdr:row>
      <xdr:rowOff>247652</xdr:rowOff>
    </xdr:to>
    <xdr:sp macro="" textlink="">
      <xdr:nvSpPr>
        <xdr:cNvPr id="23" name="Retângulo de cantos arredondados 37">
          <a:extLst>
            <a:ext uri="{FF2B5EF4-FFF2-40B4-BE49-F238E27FC236}">
              <a16:creationId xmlns:a16="http://schemas.microsoft.com/office/drawing/2014/main" xmlns="" id="{1E872504-4C1A-4086-A85B-363C1747AC63}"/>
            </a:ext>
          </a:extLst>
        </xdr:cNvPr>
        <xdr:cNvSpPr/>
      </xdr:nvSpPr>
      <xdr:spPr>
        <a:xfrm>
          <a:off x="13173848" y="2087230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oneCellAnchor>
    <xdr:from>
      <xdr:col>9</xdr:col>
      <xdr:colOff>1344706</xdr:colOff>
      <xdr:row>0</xdr:row>
      <xdr:rowOff>0</xdr:rowOff>
    </xdr:from>
    <xdr:ext cx="1659898" cy="1282586"/>
    <xdr:pic>
      <xdr:nvPicPr>
        <xdr:cNvPr id="110" name="Imagem 1">
          <a:extLst>
            <a:ext uri="{FF2B5EF4-FFF2-40B4-BE49-F238E27FC236}">
              <a16:creationId xmlns:a16="http://schemas.microsoft.com/office/drawing/2014/main" xmlns="" id="{05511FE5-0217-4417-A10C-E14E3813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46424" y="0"/>
          <a:ext cx="1659898" cy="128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111501</xdr:colOff>
      <xdr:row>51</xdr:row>
      <xdr:rowOff>180975</xdr:rowOff>
    </xdr:from>
    <xdr:to>
      <xdr:col>9</xdr:col>
      <xdr:colOff>978276</xdr:colOff>
      <xdr:row>51</xdr:row>
      <xdr:rowOff>257175</xdr:rowOff>
    </xdr:to>
    <xdr:sp macro="" textlink="">
      <xdr:nvSpPr>
        <xdr:cNvPr id="111" name="Retângulo de cantos arredondados 49">
          <a:extLst>
            <a:ext uri="{FF2B5EF4-FFF2-40B4-BE49-F238E27FC236}">
              <a16:creationId xmlns:a16="http://schemas.microsoft.com/office/drawing/2014/main" xmlns="" id="{E494471C-D46C-42F7-B8BC-BBA2BA8D0F23}"/>
            </a:ext>
          </a:extLst>
        </xdr:cNvPr>
        <xdr:cNvSpPr/>
      </xdr:nvSpPr>
      <xdr:spPr>
        <a:xfrm>
          <a:off x="11613219" y="87808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121026</xdr:colOff>
      <xdr:row>53</xdr:row>
      <xdr:rowOff>180975</xdr:rowOff>
    </xdr:from>
    <xdr:to>
      <xdr:col>9</xdr:col>
      <xdr:colOff>987801</xdr:colOff>
      <xdr:row>53</xdr:row>
      <xdr:rowOff>257175</xdr:rowOff>
    </xdr:to>
    <xdr:sp macro="" textlink="">
      <xdr:nvSpPr>
        <xdr:cNvPr id="112" name="Retângulo de cantos arredondados 50">
          <a:extLst>
            <a:ext uri="{FF2B5EF4-FFF2-40B4-BE49-F238E27FC236}">
              <a16:creationId xmlns:a16="http://schemas.microsoft.com/office/drawing/2014/main" xmlns="" id="{DCC00E9C-F054-41C8-841C-EA0A54970475}"/>
            </a:ext>
          </a:extLst>
        </xdr:cNvPr>
        <xdr:cNvSpPr/>
      </xdr:nvSpPr>
      <xdr:spPr>
        <a:xfrm>
          <a:off x="11622744" y="912147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61</xdr:row>
      <xdr:rowOff>203690</xdr:rowOff>
    </xdr:from>
    <xdr:to>
      <xdr:col>9</xdr:col>
      <xdr:colOff>973017</xdr:colOff>
      <xdr:row>61</xdr:row>
      <xdr:rowOff>279890</xdr:rowOff>
    </xdr:to>
    <xdr:sp macro="" textlink="">
      <xdr:nvSpPr>
        <xdr:cNvPr id="113" name="Retângulo de cantos arredondados 51">
          <a:extLst>
            <a:ext uri="{FF2B5EF4-FFF2-40B4-BE49-F238E27FC236}">
              <a16:creationId xmlns:a16="http://schemas.microsoft.com/office/drawing/2014/main" xmlns="" id="{2F4D0859-91AB-411B-96A2-B2860343F687}"/>
            </a:ext>
          </a:extLst>
        </xdr:cNvPr>
        <xdr:cNvSpPr/>
      </xdr:nvSpPr>
      <xdr:spPr>
        <a:xfrm>
          <a:off x="11607960" y="1048396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63</xdr:row>
      <xdr:rowOff>216878</xdr:rowOff>
    </xdr:from>
    <xdr:to>
      <xdr:col>9</xdr:col>
      <xdr:colOff>964225</xdr:colOff>
      <xdr:row>63</xdr:row>
      <xdr:rowOff>293078</xdr:rowOff>
    </xdr:to>
    <xdr:sp macro="" textlink="">
      <xdr:nvSpPr>
        <xdr:cNvPr id="114" name="Retângulo de cantos arredondados 52">
          <a:extLst>
            <a:ext uri="{FF2B5EF4-FFF2-40B4-BE49-F238E27FC236}">
              <a16:creationId xmlns:a16="http://schemas.microsoft.com/office/drawing/2014/main" xmlns="" id="{51A1DAA3-217B-47D0-93DB-1CC5029BA9CE}"/>
            </a:ext>
          </a:extLst>
        </xdr:cNvPr>
        <xdr:cNvSpPr/>
      </xdr:nvSpPr>
      <xdr:spPr>
        <a:xfrm>
          <a:off x="11599168" y="1083019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65</xdr:row>
      <xdr:rowOff>200759</xdr:rowOff>
    </xdr:from>
    <xdr:to>
      <xdr:col>9</xdr:col>
      <xdr:colOff>970087</xdr:colOff>
      <xdr:row>65</xdr:row>
      <xdr:rowOff>276959</xdr:rowOff>
    </xdr:to>
    <xdr:sp macro="" textlink="">
      <xdr:nvSpPr>
        <xdr:cNvPr id="115" name="Retângulo de cantos arredondados 53">
          <a:extLst>
            <a:ext uri="{FF2B5EF4-FFF2-40B4-BE49-F238E27FC236}">
              <a16:creationId xmlns:a16="http://schemas.microsoft.com/office/drawing/2014/main" xmlns="" id="{E5ACF44B-405D-4B75-A240-12580F771CBF}"/>
            </a:ext>
          </a:extLst>
        </xdr:cNvPr>
        <xdr:cNvSpPr/>
      </xdr:nvSpPr>
      <xdr:spPr>
        <a:xfrm>
          <a:off x="11605030" y="1116997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72</xdr:row>
      <xdr:rowOff>181279</xdr:rowOff>
    </xdr:from>
    <xdr:to>
      <xdr:col>9</xdr:col>
      <xdr:colOff>973017</xdr:colOff>
      <xdr:row>72</xdr:row>
      <xdr:rowOff>257479</xdr:rowOff>
    </xdr:to>
    <xdr:sp macro="" textlink="">
      <xdr:nvSpPr>
        <xdr:cNvPr id="116" name="Retângulo de cantos arredondados 54">
          <a:extLst>
            <a:ext uri="{FF2B5EF4-FFF2-40B4-BE49-F238E27FC236}">
              <a16:creationId xmlns:a16="http://schemas.microsoft.com/office/drawing/2014/main" xmlns="" id="{F610C7C5-3453-4B44-B039-D4FD541BAE70}"/>
            </a:ext>
          </a:extLst>
        </xdr:cNvPr>
        <xdr:cNvSpPr/>
      </xdr:nvSpPr>
      <xdr:spPr>
        <a:xfrm>
          <a:off x="11607960" y="1235803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74</xdr:row>
      <xdr:rowOff>216878</xdr:rowOff>
    </xdr:from>
    <xdr:to>
      <xdr:col>9</xdr:col>
      <xdr:colOff>964225</xdr:colOff>
      <xdr:row>74</xdr:row>
      <xdr:rowOff>293078</xdr:rowOff>
    </xdr:to>
    <xdr:sp macro="" textlink="">
      <xdr:nvSpPr>
        <xdr:cNvPr id="117" name="Retângulo de cantos arredondados 55">
          <a:extLst>
            <a:ext uri="{FF2B5EF4-FFF2-40B4-BE49-F238E27FC236}">
              <a16:creationId xmlns:a16="http://schemas.microsoft.com/office/drawing/2014/main" xmlns="" id="{0B0D9DF3-2C0A-48FE-AABA-7FF094DBBA78}"/>
            </a:ext>
          </a:extLst>
        </xdr:cNvPr>
        <xdr:cNvSpPr/>
      </xdr:nvSpPr>
      <xdr:spPr>
        <a:xfrm>
          <a:off x="11599168" y="127038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76</xdr:row>
      <xdr:rowOff>200759</xdr:rowOff>
    </xdr:from>
    <xdr:to>
      <xdr:col>9</xdr:col>
      <xdr:colOff>970087</xdr:colOff>
      <xdr:row>76</xdr:row>
      <xdr:rowOff>276959</xdr:rowOff>
    </xdr:to>
    <xdr:sp macro="" textlink="">
      <xdr:nvSpPr>
        <xdr:cNvPr id="118" name="Retângulo de cantos arredondados 56">
          <a:extLst>
            <a:ext uri="{FF2B5EF4-FFF2-40B4-BE49-F238E27FC236}">
              <a16:creationId xmlns:a16="http://schemas.microsoft.com/office/drawing/2014/main" xmlns="" id="{FE33B1E0-9C52-436F-97C2-9222FA119434}"/>
            </a:ext>
          </a:extLst>
        </xdr:cNvPr>
        <xdr:cNvSpPr/>
      </xdr:nvSpPr>
      <xdr:spPr>
        <a:xfrm>
          <a:off x="11605030" y="1304359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100296</xdr:colOff>
      <xdr:row>68</xdr:row>
      <xdr:rowOff>180975</xdr:rowOff>
    </xdr:from>
    <xdr:to>
      <xdr:col>9</xdr:col>
      <xdr:colOff>967071</xdr:colOff>
      <xdr:row>68</xdr:row>
      <xdr:rowOff>257175</xdr:rowOff>
    </xdr:to>
    <xdr:sp macro="" textlink="">
      <xdr:nvSpPr>
        <xdr:cNvPr id="119" name="Retângulo de cantos arredondados 57">
          <a:extLst>
            <a:ext uri="{FF2B5EF4-FFF2-40B4-BE49-F238E27FC236}">
              <a16:creationId xmlns:a16="http://schemas.microsoft.com/office/drawing/2014/main" xmlns="" id="{80729DBA-9BC6-4753-83F3-F85C29E27E0F}"/>
            </a:ext>
          </a:extLst>
        </xdr:cNvPr>
        <xdr:cNvSpPr/>
      </xdr:nvSpPr>
      <xdr:spPr>
        <a:xfrm>
          <a:off x="11602014" y="116764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109821</xdr:colOff>
      <xdr:row>70</xdr:row>
      <xdr:rowOff>180975</xdr:rowOff>
    </xdr:from>
    <xdr:to>
      <xdr:col>9</xdr:col>
      <xdr:colOff>976596</xdr:colOff>
      <xdr:row>70</xdr:row>
      <xdr:rowOff>257175</xdr:rowOff>
    </xdr:to>
    <xdr:sp macro="" textlink="">
      <xdr:nvSpPr>
        <xdr:cNvPr id="120" name="Retângulo de cantos arredondados 58">
          <a:extLst>
            <a:ext uri="{FF2B5EF4-FFF2-40B4-BE49-F238E27FC236}">
              <a16:creationId xmlns:a16="http://schemas.microsoft.com/office/drawing/2014/main" xmlns="" id="{1DF5BEE2-5F1C-4EB3-93B6-229D2FE26338}"/>
            </a:ext>
          </a:extLst>
        </xdr:cNvPr>
        <xdr:cNvSpPr/>
      </xdr:nvSpPr>
      <xdr:spPr>
        <a:xfrm>
          <a:off x="11611539" y="1201707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78</xdr:row>
      <xdr:rowOff>203690</xdr:rowOff>
    </xdr:from>
    <xdr:to>
      <xdr:col>9</xdr:col>
      <xdr:colOff>973017</xdr:colOff>
      <xdr:row>78</xdr:row>
      <xdr:rowOff>279890</xdr:rowOff>
    </xdr:to>
    <xdr:sp macro="" textlink="">
      <xdr:nvSpPr>
        <xdr:cNvPr id="121" name="Retângulo de cantos arredondados 59">
          <a:extLst>
            <a:ext uri="{FF2B5EF4-FFF2-40B4-BE49-F238E27FC236}">
              <a16:creationId xmlns:a16="http://schemas.microsoft.com/office/drawing/2014/main" xmlns="" id="{F085C9ED-D123-4518-B965-6797EBDABDD5}"/>
            </a:ext>
          </a:extLst>
        </xdr:cNvPr>
        <xdr:cNvSpPr/>
      </xdr:nvSpPr>
      <xdr:spPr>
        <a:xfrm>
          <a:off x="11607960" y="1337956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80</xdr:row>
      <xdr:rowOff>216878</xdr:rowOff>
    </xdr:from>
    <xdr:to>
      <xdr:col>9</xdr:col>
      <xdr:colOff>964225</xdr:colOff>
      <xdr:row>80</xdr:row>
      <xdr:rowOff>293078</xdr:rowOff>
    </xdr:to>
    <xdr:sp macro="" textlink="">
      <xdr:nvSpPr>
        <xdr:cNvPr id="122" name="Retângulo de cantos arredondados 60">
          <a:extLst>
            <a:ext uri="{FF2B5EF4-FFF2-40B4-BE49-F238E27FC236}">
              <a16:creationId xmlns:a16="http://schemas.microsoft.com/office/drawing/2014/main" xmlns="" id="{97343638-5D8B-4B7B-9451-D44E39A98380}"/>
            </a:ext>
          </a:extLst>
        </xdr:cNvPr>
        <xdr:cNvSpPr/>
      </xdr:nvSpPr>
      <xdr:spPr>
        <a:xfrm>
          <a:off x="11599168" y="1372579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82</xdr:row>
      <xdr:rowOff>200759</xdr:rowOff>
    </xdr:from>
    <xdr:to>
      <xdr:col>9</xdr:col>
      <xdr:colOff>970087</xdr:colOff>
      <xdr:row>82</xdr:row>
      <xdr:rowOff>276959</xdr:rowOff>
    </xdr:to>
    <xdr:sp macro="" textlink="">
      <xdr:nvSpPr>
        <xdr:cNvPr id="123" name="Retângulo de cantos arredondados 61">
          <a:extLst>
            <a:ext uri="{FF2B5EF4-FFF2-40B4-BE49-F238E27FC236}">
              <a16:creationId xmlns:a16="http://schemas.microsoft.com/office/drawing/2014/main" xmlns="" id="{9D26EF4F-9A41-47C2-9AC5-B85E8CED6F59}"/>
            </a:ext>
          </a:extLst>
        </xdr:cNvPr>
        <xdr:cNvSpPr/>
      </xdr:nvSpPr>
      <xdr:spPr>
        <a:xfrm>
          <a:off x="11605030" y="1406557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84</xdr:row>
      <xdr:rowOff>200759</xdr:rowOff>
    </xdr:from>
    <xdr:to>
      <xdr:col>9</xdr:col>
      <xdr:colOff>970087</xdr:colOff>
      <xdr:row>84</xdr:row>
      <xdr:rowOff>276959</xdr:rowOff>
    </xdr:to>
    <xdr:sp macro="" textlink="">
      <xdr:nvSpPr>
        <xdr:cNvPr id="124" name="Retângulo de cantos arredondados 62">
          <a:extLst>
            <a:ext uri="{FF2B5EF4-FFF2-40B4-BE49-F238E27FC236}">
              <a16:creationId xmlns:a16="http://schemas.microsoft.com/office/drawing/2014/main" xmlns="" id="{84985ED5-4083-45FB-8AB0-4486A9ED4FF9}"/>
            </a:ext>
          </a:extLst>
        </xdr:cNvPr>
        <xdr:cNvSpPr/>
      </xdr:nvSpPr>
      <xdr:spPr>
        <a:xfrm>
          <a:off x="11605030" y="1440623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86</xdr:row>
      <xdr:rowOff>203690</xdr:rowOff>
    </xdr:from>
    <xdr:to>
      <xdr:col>9</xdr:col>
      <xdr:colOff>973017</xdr:colOff>
      <xdr:row>86</xdr:row>
      <xdr:rowOff>279890</xdr:rowOff>
    </xdr:to>
    <xdr:sp macro="" textlink="">
      <xdr:nvSpPr>
        <xdr:cNvPr id="125" name="Retângulo de cantos arredondados 63">
          <a:extLst>
            <a:ext uri="{FF2B5EF4-FFF2-40B4-BE49-F238E27FC236}">
              <a16:creationId xmlns:a16="http://schemas.microsoft.com/office/drawing/2014/main" xmlns="" id="{AC5A62A6-914B-40BF-BA49-520B4AF82F10}"/>
            </a:ext>
          </a:extLst>
        </xdr:cNvPr>
        <xdr:cNvSpPr/>
      </xdr:nvSpPr>
      <xdr:spPr>
        <a:xfrm>
          <a:off x="11607960" y="1474220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88</xdr:row>
      <xdr:rowOff>216878</xdr:rowOff>
    </xdr:from>
    <xdr:to>
      <xdr:col>9</xdr:col>
      <xdr:colOff>964225</xdr:colOff>
      <xdr:row>88</xdr:row>
      <xdr:rowOff>293078</xdr:rowOff>
    </xdr:to>
    <xdr:sp macro="" textlink="">
      <xdr:nvSpPr>
        <xdr:cNvPr id="126" name="Retângulo de cantos arredondados 64">
          <a:extLst>
            <a:ext uri="{FF2B5EF4-FFF2-40B4-BE49-F238E27FC236}">
              <a16:creationId xmlns:a16="http://schemas.microsoft.com/office/drawing/2014/main" xmlns="" id="{D9A22221-FA86-4773-AF95-E30CD65BFB0C}"/>
            </a:ext>
          </a:extLst>
        </xdr:cNvPr>
        <xdr:cNvSpPr/>
      </xdr:nvSpPr>
      <xdr:spPr>
        <a:xfrm>
          <a:off x="11599168" y="150884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90</xdr:row>
      <xdr:rowOff>200759</xdr:rowOff>
    </xdr:from>
    <xdr:to>
      <xdr:col>9</xdr:col>
      <xdr:colOff>970087</xdr:colOff>
      <xdr:row>90</xdr:row>
      <xdr:rowOff>276959</xdr:rowOff>
    </xdr:to>
    <xdr:sp macro="" textlink="">
      <xdr:nvSpPr>
        <xdr:cNvPr id="127" name="Retângulo de cantos arredondados 65">
          <a:extLst>
            <a:ext uri="{FF2B5EF4-FFF2-40B4-BE49-F238E27FC236}">
              <a16:creationId xmlns:a16="http://schemas.microsoft.com/office/drawing/2014/main" xmlns="" id="{45059840-0857-48A8-8AD2-D7E5DE71F2AB}"/>
            </a:ext>
          </a:extLst>
        </xdr:cNvPr>
        <xdr:cNvSpPr/>
      </xdr:nvSpPr>
      <xdr:spPr>
        <a:xfrm>
          <a:off x="11605030" y="1542820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100297</xdr:colOff>
      <xdr:row>98</xdr:row>
      <xdr:rowOff>180975</xdr:rowOff>
    </xdr:from>
    <xdr:to>
      <xdr:col>9</xdr:col>
      <xdr:colOff>967072</xdr:colOff>
      <xdr:row>98</xdr:row>
      <xdr:rowOff>257175</xdr:rowOff>
    </xdr:to>
    <xdr:sp macro="" textlink="">
      <xdr:nvSpPr>
        <xdr:cNvPr id="128" name="Retângulo de cantos arredondados 68">
          <a:extLst>
            <a:ext uri="{FF2B5EF4-FFF2-40B4-BE49-F238E27FC236}">
              <a16:creationId xmlns:a16="http://schemas.microsoft.com/office/drawing/2014/main" xmlns="" id="{9DAA1584-8942-484C-84A1-1B58842EE1BC}"/>
            </a:ext>
          </a:extLst>
        </xdr:cNvPr>
        <xdr:cNvSpPr/>
      </xdr:nvSpPr>
      <xdr:spPr>
        <a:xfrm>
          <a:off x="11602015" y="1678630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98614</xdr:colOff>
      <xdr:row>100</xdr:row>
      <xdr:rowOff>180975</xdr:rowOff>
    </xdr:from>
    <xdr:to>
      <xdr:col>10</xdr:col>
      <xdr:colOff>965389</xdr:colOff>
      <xdr:row>100</xdr:row>
      <xdr:rowOff>257175</xdr:rowOff>
    </xdr:to>
    <xdr:sp macro="" textlink="">
      <xdr:nvSpPr>
        <xdr:cNvPr id="129" name="Retângulo de cantos arredondados 69">
          <a:extLst>
            <a:ext uri="{FF2B5EF4-FFF2-40B4-BE49-F238E27FC236}">
              <a16:creationId xmlns:a16="http://schemas.microsoft.com/office/drawing/2014/main" xmlns="" id="{3C4AB502-6216-42E9-A3C2-3D9FE98BA726}"/>
            </a:ext>
          </a:extLst>
        </xdr:cNvPr>
        <xdr:cNvSpPr/>
      </xdr:nvSpPr>
      <xdr:spPr>
        <a:xfrm>
          <a:off x="13169155" y="1712695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97452</xdr:colOff>
      <xdr:row>103</xdr:row>
      <xdr:rowOff>216878</xdr:rowOff>
    </xdr:from>
    <xdr:to>
      <xdr:col>10</xdr:col>
      <xdr:colOff>964227</xdr:colOff>
      <xdr:row>103</xdr:row>
      <xdr:rowOff>293078</xdr:rowOff>
    </xdr:to>
    <xdr:sp macro="" textlink="">
      <xdr:nvSpPr>
        <xdr:cNvPr id="130" name="Retângulo de cantos arredondados 70">
          <a:extLst>
            <a:ext uri="{FF2B5EF4-FFF2-40B4-BE49-F238E27FC236}">
              <a16:creationId xmlns:a16="http://schemas.microsoft.com/office/drawing/2014/main" xmlns="" id="{2FCCD3F9-C2F2-4D1B-8ECC-3CA6DC67A455}"/>
            </a:ext>
          </a:extLst>
        </xdr:cNvPr>
        <xdr:cNvSpPr/>
      </xdr:nvSpPr>
      <xdr:spPr>
        <a:xfrm>
          <a:off x="13167993" y="176433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103314</xdr:colOff>
      <xdr:row>105</xdr:row>
      <xdr:rowOff>200759</xdr:rowOff>
    </xdr:from>
    <xdr:to>
      <xdr:col>10</xdr:col>
      <xdr:colOff>970089</xdr:colOff>
      <xdr:row>105</xdr:row>
      <xdr:rowOff>276959</xdr:rowOff>
    </xdr:to>
    <xdr:sp macro="" textlink="">
      <xdr:nvSpPr>
        <xdr:cNvPr id="131" name="Retângulo de cantos arredondados 71">
          <a:extLst>
            <a:ext uri="{FF2B5EF4-FFF2-40B4-BE49-F238E27FC236}">
              <a16:creationId xmlns:a16="http://schemas.microsoft.com/office/drawing/2014/main" xmlns="" id="{0C05B385-FDE7-4365-AB07-979678C1CD99}"/>
            </a:ext>
          </a:extLst>
        </xdr:cNvPr>
        <xdr:cNvSpPr/>
      </xdr:nvSpPr>
      <xdr:spPr>
        <a:xfrm>
          <a:off x="13173855" y="1798315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106244</xdr:colOff>
      <xdr:row>107</xdr:row>
      <xdr:rowOff>203690</xdr:rowOff>
    </xdr:from>
    <xdr:to>
      <xdr:col>10</xdr:col>
      <xdr:colOff>973019</xdr:colOff>
      <xdr:row>107</xdr:row>
      <xdr:rowOff>279890</xdr:rowOff>
    </xdr:to>
    <xdr:sp macro="" textlink="">
      <xdr:nvSpPr>
        <xdr:cNvPr id="132" name="Retângulo de cantos arredondados 72">
          <a:extLst>
            <a:ext uri="{FF2B5EF4-FFF2-40B4-BE49-F238E27FC236}">
              <a16:creationId xmlns:a16="http://schemas.microsoft.com/office/drawing/2014/main" xmlns="" id="{BFE4465C-7177-4816-A78D-84480A21BE98}"/>
            </a:ext>
          </a:extLst>
        </xdr:cNvPr>
        <xdr:cNvSpPr/>
      </xdr:nvSpPr>
      <xdr:spPr>
        <a:xfrm>
          <a:off x="13176785" y="1831911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97452</xdr:colOff>
      <xdr:row>109</xdr:row>
      <xdr:rowOff>216878</xdr:rowOff>
    </xdr:from>
    <xdr:to>
      <xdr:col>10</xdr:col>
      <xdr:colOff>964227</xdr:colOff>
      <xdr:row>109</xdr:row>
      <xdr:rowOff>293078</xdr:rowOff>
    </xdr:to>
    <xdr:sp macro="" textlink="">
      <xdr:nvSpPr>
        <xdr:cNvPr id="133" name="Retângulo de cantos arredondados 73">
          <a:extLst>
            <a:ext uri="{FF2B5EF4-FFF2-40B4-BE49-F238E27FC236}">
              <a16:creationId xmlns:a16="http://schemas.microsoft.com/office/drawing/2014/main" xmlns="" id="{941D2D05-4EE7-4AB9-AAD0-9E12CF5DE113}"/>
            </a:ext>
          </a:extLst>
        </xdr:cNvPr>
        <xdr:cNvSpPr/>
      </xdr:nvSpPr>
      <xdr:spPr>
        <a:xfrm>
          <a:off x="13167993" y="1866534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103314</xdr:colOff>
      <xdr:row>111</xdr:row>
      <xdr:rowOff>200759</xdr:rowOff>
    </xdr:from>
    <xdr:to>
      <xdr:col>10</xdr:col>
      <xdr:colOff>970089</xdr:colOff>
      <xdr:row>111</xdr:row>
      <xdr:rowOff>276959</xdr:rowOff>
    </xdr:to>
    <xdr:sp macro="" textlink="">
      <xdr:nvSpPr>
        <xdr:cNvPr id="134" name="Retângulo de cantos arredondados 74">
          <a:extLst>
            <a:ext uri="{FF2B5EF4-FFF2-40B4-BE49-F238E27FC236}">
              <a16:creationId xmlns:a16="http://schemas.microsoft.com/office/drawing/2014/main" xmlns="" id="{6B37BA34-63B2-43D8-BA43-59F4913810B8}"/>
            </a:ext>
          </a:extLst>
        </xdr:cNvPr>
        <xdr:cNvSpPr/>
      </xdr:nvSpPr>
      <xdr:spPr>
        <a:xfrm>
          <a:off x="13173855" y="1900512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103314</xdr:colOff>
      <xdr:row>113</xdr:row>
      <xdr:rowOff>200759</xdr:rowOff>
    </xdr:from>
    <xdr:to>
      <xdr:col>10</xdr:col>
      <xdr:colOff>970089</xdr:colOff>
      <xdr:row>113</xdr:row>
      <xdr:rowOff>276959</xdr:rowOff>
    </xdr:to>
    <xdr:sp macro="" textlink="">
      <xdr:nvSpPr>
        <xdr:cNvPr id="135" name="Retângulo de cantos arredondados 75">
          <a:extLst>
            <a:ext uri="{FF2B5EF4-FFF2-40B4-BE49-F238E27FC236}">
              <a16:creationId xmlns:a16="http://schemas.microsoft.com/office/drawing/2014/main" xmlns="" id="{BC2AEB2C-B282-4C50-B6F9-EFEFD41E6571}"/>
            </a:ext>
          </a:extLst>
        </xdr:cNvPr>
        <xdr:cNvSpPr/>
      </xdr:nvSpPr>
      <xdr:spPr>
        <a:xfrm>
          <a:off x="13173855" y="1934578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106244</xdr:colOff>
      <xdr:row>115</xdr:row>
      <xdr:rowOff>203690</xdr:rowOff>
    </xdr:from>
    <xdr:to>
      <xdr:col>10</xdr:col>
      <xdr:colOff>973019</xdr:colOff>
      <xdr:row>115</xdr:row>
      <xdr:rowOff>279890</xdr:rowOff>
    </xdr:to>
    <xdr:sp macro="" textlink="">
      <xdr:nvSpPr>
        <xdr:cNvPr id="136" name="Retângulo de cantos arredondados 76">
          <a:extLst>
            <a:ext uri="{FF2B5EF4-FFF2-40B4-BE49-F238E27FC236}">
              <a16:creationId xmlns:a16="http://schemas.microsoft.com/office/drawing/2014/main" xmlns="" id="{1637DAEA-E800-4FBA-8FFB-52EACBBB03BD}"/>
            </a:ext>
          </a:extLst>
        </xdr:cNvPr>
        <xdr:cNvSpPr/>
      </xdr:nvSpPr>
      <xdr:spPr>
        <a:xfrm>
          <a:off x="13176785" y="1968175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97452</xdr:colOff>
      <xdr:row>117</xdr:row>
      <xdr:rowOff>216878</xdr:rowOff>
    </xdr:from>
    <xdr:to>
      <xdr:col>10</xdr:col>
      <xdr:colOff>964227</xdr:colOff>
      <xdr:row>117</xdr:row>
      <xdr:rowOff>293078</xdr:rowOff>
    </xdr:to>
    <xdr:sp macro="" textlink="">
      <xdr:nvSpPr>
        <xdr:cNvPr id="137" name="Retângulo de cantos arredondados 77">
          <a:extLst>
            <a:ext uri="{FF2B5EF4-FFF2-40B4-BE49-F238E27FC236}">
              <a16:creationId xmlns:a16="http://schemas.microsoft.com/office/drawing/2014/main" xmlns="" id="{86833BCA-DCC0-459A-88A6-5D1A1E5DAC76}"/>
            </a:ext>
          </a:extLst>
        </xdr:cNvPr>
        <xdr:cNvSpPr/>
      </xdr:nvSpPr>
      <xdr:spPr>
        <a:xfrm>
          <a:off x="13167993" y="2002798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105338</xdr:colOff>
      <xdr:row>100</xdr:row>
      <xdr:rowOff>176492</xdr:rowOff>
    </xdr:from>
    <xdr:to>
      <xdr:col>9</xdr:col>
      <xdr:colOff>972113</xdr:colOff>
      <xdr:row>100</xdr:row>
      <xdr:rowOff>252692</xdr:rowOff>
    </xdr:to>
    <xdr:sp macro="" textlink="">
      <xdr:nvSpPr>
        <xdr:cNvPr id="138" name="Retângulo de cantos arredondados 164">
          <a:extLst>
            <a:ext uri="{FF2B5EF4-FFF2-40B4-BE49-F238E27FC236}">
              <a16:creationId xmlns:a16="http://schemas.microsoft.com/office/drawing/2014/main" xmlns="" id="{E0D833E0-9DC5-4D82-9315-03D714A496F8}"/>
            </a:ext>
          </a:extLst>
        </xdr:cNvPr>
        <xdr:cNvSpPr/>
      </xdr:nvSpPr>
      <xdr:spPr>
        <a:xfrm>
          <a:off x="11607056" y="1713009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84614</xdr:colOff>
      <xdr:row>98</xdr:row>
      <xdr:rowOff>176491</xdr:rowOff>
    </xdr:from>
    <xdr:to>
      <xdr:col>10</xdr:col>
      <xdr:colOff>951389</xdr:colOff>
      <xdr:row>98</xdr:row>
      <xdr:rowOff>252691</xdr:rowOff>
    </xdr:to>
    <xdr:sp macro="" textlink="">
      <xdr:nvSpPr>
        <xdr:cNvPr id="139" name="Retângulo de cantos arredondados 165">
          <a:extLst>
            <a:ext uri="{FF2B5EF4-FFF2-40B4-BE49-F238E27FC236}">
              <a16:creationId xmlns:a16="http://schemas.microsoft.com/office/drawing/2014/main" xmlns="" id="{C26F6671-04EF-452A-9596-E88172E90BBF}"/>
            </a:ext>
          </a:extLst>
        </xdr:cNvPr>
        <xdr:cNvSpPr/>
      </xdr:nvSpPr>
      <xdr:spPr>
        <a:xfrm>
          <a:off x="13155155" y="1678943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104173</xdr:colOff>
      <xdr:row>103</xdr:row>
      <xdr:rowOff>212394</xdr:rowOff>
    </xdr:from>
    <xdr:to>
      <xdr:col>9</xdr:col>
      <xdr:colOff>970948</xdr:colOff>
      <xdr:row>103</xdr:row>
      <xdr:rowOff>288594</xdr:rowOff>
    </xdr:to>
    <xdr:sp macro="" textlink="">
      <xdr:nvSpPr>
        <xdr:cNvPr id="140" name="Retângulo de cantos arredondados 168">
          <a:extLst>
            <a:ext uri="{FF2B5EF4-FFF2-40B4-BE49-F238E27FC236}">
              <a16:creationId xmlns:a16="http://schemas.microsoft.com/office/drawing/2014/main" xmlns="" id="{4EE4BA9D-D2F9-4EAD-A4D6-65B8E4D09C04}"/>
            </a:ext>
          </a:extLst>
        </xdr:cNvPr>
        <xdr:cNvSpPr/>
      </xdr:nvSpPr>
      <xdr:spPr>
        <a:xfrm>
          <a:off x="11605891" y="1763888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110035</xdr:colOff>
      <xdr:row>105</xdr:row>
      <xdr:rowOff>196275</xdr:rowOff>
    </xdr:from>
    <xdr:to>
      <xdr:col>9</xdr:col>
      <xdr:colOff>976810</xdr:colOff>
      <xdr:row>105</xdr:row>
      <xdr:rowOff>272475</xdr:rowOff>
    </xdr:to>
    <xdr:sp macro="" textlink="">
      <xdr:nvSpPr>
        <xdr:cNvPr id="141" name="Retângulo de cantos arredondados 169">
          <a:extLst>
            <a:ext uri="{FF2B5EF4-FFF2-40B4-BE49-F238E27FC236}">
              <a16:creationId xmlns:a16="http://schemas.microsoft.com/office/drawing/2014/main" xmlns="" id="{11CEC3C7-C251-401B-A967-D6D3FB863C5D}"/>
            </a:ext>
          </a:extLst>
        </xdr:cNvPr>
        <xdr:cNvSpPr/>
      </xdr:nvSpPr>
      <xdr:spPr>
        <a:xfrm>
          <a:off x="11611753" y="1797866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112965</xdr:colOff>
      <xdr:row>107</xdr:row>
      <xdr:rowOff>199206</xdr:rowOff>
    </xdr:from>
    <xdr:to>
      <xdr:col>9</xdr:col>
      <xdr:colOff>979740</xdr:colOff>
      <xdr:row>107</xdr:row>
      <xdr:rowOff>275406</xdr:rowOff>
    </xdr:to>
    <xdr:sp macro="" textlink="">
      <xdr:nvSpPr>
        <xdr:cNvPr id="142" name="Retângulo de cantos arredondados 170">
          <a:extLst>
            <a:ext uri="{FF2B5EF4-FFF2-40B4-BE49-F238E27FC236}">
              <a16:creationId xmlns:a16="http://schemas.microsoft.com/office/drawing/2014/main" xmlns="" id="{EFED2379-2F65-459A-BAE6-2337F375C5B7}"/>
            </a:ext>
          </a:extLst>
        </xdr:cNvPr>
        <xdr:cNvSpPr/>
      </xdr:nvSpPr>
      <xdr:spPr>
        <a:xfrm>
          <a:off x="11614683" y="1832225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104173</xdr:colOff>
      <xdr:row>109</xdr:row>
      <xdr:rowOff>212394</xdr:rowOff>
    </xdr:from>
    <xdr:to>
      <xdr:col>9</xdr:col>
      <xdr:colOff>970948</xdr:colOff>
      <xdr:row>109</xdr:row>
      <xdr:rowOff>288594</xdr:rowOff>
    </xdr:to>
    <xdr:sp macro="" textlink="">
      <xdr:nvSpPr>
        <xdr:cNvPr id="143" name="Retângulo de cantos arredondados 171">
          <a:extLst>
            <a:ext uri="{FF2B5EF4-FFF2-40B4-BE49-F238E27FC236}">
              <a16:creationId xmlns:a16="http://schemas.microsoft.com/office/drawing/2014/main" xmlns="" id="{2AC1643F-4399-43FC-B0E4-2CD91BBBA9F4}"/>
            </a:ext>
          </a:extLst>
        </xdr:cNvPr>
        <xdr:cNvSpPr/>
      </xdr:nvSpPr>
      <xdr:spPr>
        <a:xfrm>
          <a:off x="11605891" y="1866086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110035</xdr:colOff>
      <xdr:row>111</xdr:row>
      <xdr:rowOff>196275</xdr:rowOff>
    </xdr:from>
    <xdr:to>
      <xdr:col>9</xdr:col>
      <xdr:colOff>976810</xdr:colOff>
      <xdr:row>111</xdr:row>
      <xdr:rowOff>272475</xdr:rowOff>
    </xdr:to>
    <xdr:sp macro="" textlink="">
      <xdr:nvSpPr>
        <xdr:cNvPr id="144" name="Retângulo de cantos arredondados 172">
          <a:extLst>
            <a:ext uri="{FF2B5EF4-FFF2-40B4-BE49-F238E27FC236}">
              <a16:creationId xmlns:a16="http://schemas.microsoft.com/office/drawing/2014/main" xmlns="" id="{8E2C5C72-A473-4B27-A823-932256DE86BB}"/>
            </a:ext>
          </a:extLst>
        </xdr:cNvPr>
        <xdr:cNvSpPr/>
      </xdr:nvSpPr>
      <xdr:spPr>
        <a:xfrm>
          <a:off x="11611753" y="1900064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110035</xdr:colOff>
      <xdr:row>113</xdr:row>
      <xdr:rowOff>196275</xdr:rowOff>
    </xdr:from>
    <xdr:to>
      <xdr:col>9</xdr:col>
      <xdr:colOff>976810</xdr:colOff>
      <xdr:row>113</xdr:row>
      <xdr:rowOff>272475</xdr:rowOff>
    </xdr:to>
    <xdr:sp macro="" textlink="">
      <xdr:nvSpPr>
        <xdr:cNvPr id="145" name="Retângulo de cantos arredondados 173">
          <a:extLst>
            <a:ext uri="{FF2B5EF4-FFF2-40B4-BE49-F238E27FC236}">
              <a16:creationId xmlns:a16="http://schemas.microsoft.com/office/drawing/2014/main" xmlns="" id="{00C9D7CD-1239-4056-9E87-CF4B2E5D7196}"/>
            </a:ext>
          </a:extLst>
        </xdr:cNvPr>
        <xdr:cNvSpPr/>
      </xdr:nvSpPr>
      <xdr:spPr>
        <a:xfrm>
          <a:off x="11611753" y="1934130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112965</xdr:colOff>
      <xdr:row>115</xdr:row>
      <xdr:rowOff>199206</xdr:rowOff>
    </xdr:from>
    <xdr:to>
      <xdr:col>9</xdr:col>
      <xdr:colOff>979740</xdr:colOff>
      <xdr:row>115</xdr:row>
      <xdr:rowOff>275406</xdr:rowOff>
    </xdr:to>
    <xdr:sp macro="" textlink="">
      <xdr:nvSpPr>
        <xdr:cNvPr id="146" name="Retângulo de cantos arredondados 174">
          <a:extLst>
            <a:ext uri="{FF2B5EF4-FFF2-40B4-BE49-F238E27FC236}">
              <a16:creationId xmlns:a16="http://schemas.microsoft.com/office/drawing/2014/main" xmlns="" id="{BBAAE64C-64BE-4910-8C0B-C4DECB69EB48}"/>
            </a:ext>
          </a:extLst>
        </xdr:cNvPr>
        <xdr:cNvSpPr/>
      </xdr:nvSpPr>
      <xdr:spPr>
        <a:xfrm>
          <a:off x="11614683" y="1968489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104173</xdr:colOff>
      <xdr:row>117</xdr:row>
      <xdr:rowOff>212394</xdr:rowOff>
    </xdr:from>
    <xdr:to>
      <xdr:col>9</xdr:col>
      <xdr:colOff>970948</xdr:colOff>
      <xdr:row>117</xdr:row>
      <xdr:rowOff>288594</xdr:rowOff>
    </xdr:to>
    <xdr:sp macro="" textlink="">
      <xdr:nvSpPr>
        <xdr:cNvPr id="147" name="Retângulo de cantos arredondados 175">
          <a:extLst>
            <a:ext uri="{FF2B5EF4-FFF2-40B4-BE49-F238E27FC236}">
              <a16:creationId xmlns:a16="http://schemas.microsoft.com/office/drawing/2014/main" xmlns="" id="{1CB7E2C7-A02E-48CB-8B4B-5056B6402A92}"/>
            </a:ext>
          </a:extLst>
        </xdr:cNvPr>
        <xdr:cNvSpPr/>
      </xdr:nvSpPr>
      <xdr:spPr>
        <a:xfrm>
          <a:off x="11605891" y="2002349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105339</xdr:colOff>
      <xdr:row>95</xdr:row>
      <xdr:rowOff>176491</xdr:rowOff>
    </xdr:from>
    <xdr:to>
      <xdr:col>9</xdr:col>
      <xdr:colOff>972114</xdr:colOff>
      <xdr:row>95</xdr:row>
      <xdr:rowOff>252691</xdr:rowOff>
    </xdr:to>
    <xdr:sp macro="" textlink="">
      <xdr:nvSpPr>
        <xdr:cNvPr id="148" name="Retângulo de cantos arredondados 180">
          <a:extLst>
            <a:ext uri="{FF2B5EF4-FFF2-40B4-BE49-F238E27FC236}">
              <a16:creationId xmlns:a16="http://schemas.microsoft.com/office/drawing/2014/main" xmlns="" id="{8D28DF1D-0E20-4A21-B3F4-7F7EB3EFC8C5}"/>
            </a:ext>
          </a:extLst>
        </xdr:cNvPr>
        <xdr:cNvSpPr/>
      </xdr:nvSpPr>
      <xdr:spPr>
        <a:xfrm>
          <a:off x="11607057" y="1627844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112061</xdr:colOff>
      <xdr:row>93</xdr:row>
      <xdr:rowOff>183206</xdr:rowOff>
    </xdr:from>
    <xdr:to>
      <xdr:col>9</xdr:col>
      <xdr:colOff>978836</xdr:colOff>
      <xdr:row>93</xdr:row>
      <xdr:rowOff>259406</xdr:rowOff>
    </xdr:to>
    <xdr:sp macro="" textlink="">
      <xdr:nvSpPr>
        <xdr:cNvPr id="149" name="Retângulo de cantos arredondados 181">
          <a:extLst>
            <a:ext uri="{FF2B5EF4-FFF2-40B4-BE49-F238E27FC236}">
              <a16:creationId xmlns:a16="http://schemas.microsoft.com/office/drawing/2014/main" xmlns="" id="{780ED8AC-7AA6-4868-827B-6C2D7A2933DD}"/>
            </a:ext>
          </a:extLst>
        </xdr:cNvPr>
        <xdr:cNvSpPr/>
      </xdr:nvSpPr>
      <xdr:spPr>
        <a:xfrm>
          <a:off x="11613779" y="1593688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tabSelected="1" view="pageBreakPreview" topLeftCell="A31" zoomScaleNormal="70" zoomScaleSheetLayoutView="100" workbookViewId="0">
      <selection activeCell="A31" sqref="A31:H31"/>
    </sheetView>
  </sheetViews>
  <sheetFormatPr defaultRowHeight="13.2"/>
  <cols>
    <col min="1" max="1" width="8.33203125" bestFit="1" customWidth="1"/>
    <col min="2" max="2" width="13.5546875" customWidth="1"/>
    <col min="3" max="3" width="14.88671875" bestFit="1" customWidth="1"/>
    <col min="4" max="4" width="57.5546875" style="71" bestFit="1" customWidth="1"/>
    <col min="5" max="5" width="9.6640625" bestFit="1" customWidth="1"/>
    <col min="6" max="6" width="14" bestFit="1" customWidth="1"/>
    <col min="7" max="7" width="14.6640625" customWidth="1"/>
    <col min="8" max="8" width="14.44140625" customWidth="1"/>
    <col min="9" max="9" width="20.5546875" bestFit="1" customWidth="1"/>
    <col min="11" max="11" width="9.5546875" bestFit="1" customWidth="1"/>
    <col min="12" max="12" width="15.88671875" bestFit="1" customWidth="1"/>
    <col min="13" max="13" width="14.44140625" bestFit="1" customWidth="1"/>
  </cols>
  <sheetData>
    <row r="1" spans="1:12" ht="17.399999999999999">
      <c r="A1" s="163" t="s">
        <v>58</v>
      </c>
      <c r="B1" s="164"/>
      <c r="C1" s="164"/>
      <c r="D1" s="164"/>
      <c r="E1" s="164"/>
      <c r="F1" s="164"/>
      <c r="G1" s="164"/>
      <c r="H1" s="164"/>
      <c r="I1" s="164"/>
      <c r="J1" s="164"/>
      <c r="K1" s="30"/>
      <c r="L1" s="31"/>
    </row>
    <row r="2" spans="1:12" ht="15" customHeight="1">
      <c r="A2" s="165" t="s">
        <v>95</v>
      </c>
      <c r="B2" s="166"/>
      <c r="C2" s="166"/>
      <c r="D2" s="166"/>
      <c r="E2" s="166"/>
      <c r="F2" s="166"/>
      <c r="G2" s="166"/>
      <c r="H2" s="166"/>
      <c r="I2" s="166"/>
      <c r="J2" s="166"/>
      <c r="K2" s="32"/>
      <c r="L2" s="33"/>
    </row>
    <row r="3" spans="1:12" ht="15" customHeight="1">
      <c r="A3" s="167" t="s">
        <v>59</v>
      </c>
      <c r="B3" s="168"/>
      <c r="C3" s="34"/>
      <c r="D3" s="66" t="s">
        <v>60</v>
      </c>
      <c r="E3" s="34"/>
      <c r="F3" s="34"/>
      <c r="G3" s="34"/>
      <c r="H3" s="34"/>
      <c r="I3" s="36"/>
      <c r="J3" s="33"/>
    </row>
    <row r="4" spans="1:12" ht="15" customHeight="1">
      <c r="A4" s="37"/>
      <c r="B4" s="38"/>
      <c r="C4" s="38"/>
      <c r="D4" s="67" t="s">
        <v>171</v>
      </c>
      <c r="E4" s="40"/>
      <c r="F4" s="40"/>
      <c r="G4" s="40"/>
      <c r="H4" s="40"/>
      <c r="I4" s="40"/>
      <c r="J4" s="41"/>
      <c r="L4">
        <f>0.15/0.2</f>
        <v>0.74999999999999989</v>
      </c>
    </row>
    <row r="5" spans="1:12" ht="15" customHeight="1">
      <c r="A5" s="42"/>
      <c r="C5" s="43"/>
      <c r="D5" s="68"/>
      <c r="E5" s="44"/>
      <c r="F5" s="44"/>
      <c r="J5" s="45"/>
      <c r="L5">
        <f>L6/0.08</f>
        <v>6.88</v>
      </c>
    </row>
    <row r="6" spans="1:12">
      <c r="A6" s="46" t="s">
        <v>61</v>
      </c>
      <c r="B6" s="34"/>
      <c r="C6" s="34"/>
      <c r="D6" s="69" t="s">
        <v>62</v>
      </c>
      <c r="E6" s="34"/>
      <c r="F6" s="34"/>
      <c r="G6" s="34"/>
      <c r="H6" s="34"/>
      <c r="I6" s="34"/>
      <c r="J6" s="33"/>
      <c r="L6">
        <f>0.74-L7</f>
        <v>0.5504</v>
      </c>
    </row>
    <row r="7" spans="1:12" ht="15" customHeight="1">
      <c r="A7" s="37"/>
      <c r="B7" s="48"/>
      <c r="C7" s="48"/>
      <c r="D7" s="67" t="s">
        <v>58</v>
      </c>
      <c r="E7" s="40"/>
      <c r="F7" s="40"/>
      <c r="G7" s="40"/>
      <c r="H7" s="40"/>
      <c r="I7" s="40"/>
      <c r="J7" s="41"/>
      <c r="L7" s="142">
        <f>2.37*0.08</f>
        <v>0.18960000000000002</v>
      </c>
    </row>
    <row r="8" spans="1:12" ht="15" customHeight="1">
      <c r="A8" s="42"/>
      <c r="B8" s="34"/>
      <c r="C8" s="34"/>
      <c r="D8" s="70"/>
      <c r="E8" s="34"/>
      <c r="F8" s="34"/>
      <c r="G8" s="34"/>
      <c r="H8" s="34"/>
      <c r="I8" s="34"/>
      <c r="J8" s="45"/>
    </row>
    <row r="9" spans="1:12" ht="25.5" customHeight="1">
      <c r="A9" s="46" t="s">
        <v>84</v>
      </c>
      <c r="B9" s="34"/>
      <c r="C9" s="34"/>
      <c r="D9" s="69" t="s">
        <v>63</v>
      </c>
      <c r="E9" s="49" t="s">
        <v>98</v>
      </c>
      <c r="F9" s="49" t="s">
        <v>151</v>
      </c>
      <c r="G9" s="49" t="s">
        <v>64</v>
      </c>
      <c r="H9" s="169" t="s">
        <v>65</v>
      </c>
      <c r="I9" s="170"/>
      <c r="J9" s="171"/>
      <c r="L9">
        <f>0.42/0.08</f>
        <v>5.25</v>
      </c>
    </row>
    <row r="10" spans="1:12" ht="39.75" customHeight="1">
      <c r="A10" s="51"/>
      <c r="B10" s="40"/>
      <c r="C10" s="40"/>
      <c r="D10" s="139" t="s">
        <v>96</v>
      </c>
      <c r="E10" s="73">
        <f>'BDI Geral'!$C$25</f>
        <v>0.26240159730706081</v>
      </c>
      <c r="F10" s="73">
        <f>'BDI Diferenciado'!$C$25</f>
        <v>0.15278047942916406</v>
      </c>
      <c r="G10" s="72">
        <f>I43</f>
        <v>1550092.47</v>
      </c>
      <c r="H10" s="172" t="s">
        <v>150</v>
      </c>
      <c r="I10" s="173"/>
      <c r="J10" s="174"/>
      <c r="L10">
        <f>0.74/0.2</f>
        <v>3.6999999999999997</v>
      </c>
    </row>
    <row r="11" spans="1:12" ht="19.5" customHeight="1">
      <c r="A11" s="156" t="s">
        <v>66</v>
      </c>
      <c r="B11" s="156"/>
      <c r="C11" s="156"/>
      <c r="D11" s="156"/>
      <c r="E11" s="156"/>
      <c r="F11" s="156"/>
      <c r="G11" s="156"/>
      <c r="H11" s="156"/>
      <c r="I11" s="156"/>
      <c r="J11" s="156"/>
      <c r="L11" s="141">
        <v>0.74</v>
      </c>
    </row>
    <row r="12" spans="1:12">
      <c r="A12" s="157"/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2" ht="27.75" customHeight="1">
      <c r="A13" s="52" t="s">
        <v>0</v>
      </c>
      <c r="B13" s="52" t="s">
        <v>16</v>
      </c>
      <c r="C13" s="52" t="s">
        <v>68</v>
      </c>
      <c r="D13" s="53" t="s">
        <v>69</v>
      </c>
      <c r="E13" s="53" t="s">
        <v>70</v>
      </c>
      <c r="F13" s="53" t="s">
        <v>71</v>
      </c>
      <c r="G13" s="53" t="s">
        <v>72</v>
      </c>
      <c r="H13" s="53" t="s">
        <v>73</v>
      </c>
      <c r="I13" s="53" t="s">
        <v>74</v>
      </c>
      <c r="J13" s="53" t="s">
        <v>67</v>
      </c>
    </row>
    <row r="14" spans="1:12" ht="15" customHeight="1">
      <c r="A14" s="158" t="s">
        <v>172</v>
      </c>
      <c r="B14" s="159"/>
      <c r="C14" s="159"/>
      <c r="D14" s="159"/>
      <c r="E14" s="159"/>
      <c r="F14" s="159"/>
      <c r="G14" s="159"/>
      <c r="H14" s="159"/>
      <c r="I14" s="132">
        <f>TRUNC((SUM(I15:I16)),2)</f>
        <v>2925.54</v>
      </c>
      <c r="J14" s="133">
        <f>I14/$I$43</f>
        <v>1.8873325666822962E-3</v>
      </c>
    </row>
    <row r="15" spans="1:12" ht="39.6">
      <c r="A15" s="3" t="s">
        <v>3</v>
      </c>
      <c r="B15" s="3">
        <v>103689</v>
      </c>
      <c r="C15" s="1" t="s">
        <v>15</v>
      </c>
      <c r="D15" s="4" t="s">
        <v>149</v>
      </c>
      <c r="E15" s="3" t="s">
        <v>2</v>
      </c>
      <c r="F15" s="8">
        <f>'Memória de Cálculo'!$I$15</f>
        <v>6</v>
      </c>
      <c r="G15" s="74">
        <v>311.73</v>
      </c>
      <c r="H15" s="55">
        <f>TRUNC(G15+G15*$E$10,2)</f>
        <v>393.52</v>
      </c>
      <c r="I15" s="56">
        <f>TRUNC(H15*F15,2)</f>
        <v>2361.12</v>
      </c>
      <c r="J15" s="135">
        <f>I15/$I$43</f>
        <v>1.5232123539055706E-3</v>
      </c>
    </row>
    <row r="16" spans="1:12">
      <c r="A16" s="3" t="s">
        <v>4</v>
      </c>
      <c r="B16" s="3" t="s">
        <v>57</v>
      </c>
      <c r="C16" s="1" t="s">
        <v>85</v>
      </c>
      <c r="D16" s="4" t="s">
        <v>111</v>
      </c>
      <c r="E16" s="3" t="s">
        <v>2</v>
      </c>
      <c r="F16" s="8">
        <f>'Memória de Cálculo'!$I$16</f>
        <v>794.96</v>
      </c>
      <c r="G16" s="74">
        <f>'Composições Unitárias'!$H$29</f>
        <v>0.56808071878817734</v>
      </c>
      <c r="H16" s="55">
        <f>TRUNC(G16+G16*$E$10,2)</f>
        <v>0.71</v>
      </c>
      <c r="I16" s="56">
        <f>TRUNC(H16*F16,2)</f>
        <v>564.41999999999996</v>
      </c>
      <c r="J16" s="135">
        <f>I16/$I$43</f>
        <v>3.641202127767255E-4</v>
      </c>
    </row>
    <row r="17" spans="1:12" ht="13.8">
      <c r="A17" s="160"/>
      <c r="B17" s="161"/>
      <c r="C17" s="161"/>
      <c r="D17" s="161"/>
      <c r="E17" s="161"/>
      <c r="F17" s="161"/>
      <c r="G17" s="161"/>
      <c r="H17" s="161"/>
      <c r="I17" s="161"/>
      <c r="J17" s="162"/>
    </row>
    <row r="18" spans="1:12" ht="12.75" customHeight="1">
      <c r="A18" s="158" t="s">
        <v>173</v>
      </c>
      <c r="B18" s="159"/>
      <c r="C18" s="159"/>
      <c r="D18" s="159"/>
      <c r="E18" s="159"/>
      <c r="F18" s="159"/>
      <c r="G18" s="159"/>
      <c r="H18" s="159"/>
      <c r="I18" s="132">
        <f>TRUNC((SUM(I19:I22)),2)</f>
        <v>151913.43</v>
      </c>
      <c r="J18" s="133">
        <f>I18/$I$43</f>
        <v>9.8002817857698515E-2</v>
      </c>
    </row>
    <row r="19" spans="1:12" ht="66">
      <c r="A19" s="5" t="s">
        <v>5</v>
      </c>
      <c r="B19" s="7">
        <v>90091</v>
      </c>
      <c r="C19" s="6" t="s">
        <v>15</v>
      </c>
      <c r="D19" s="2" t="s">
        <v>113</v>
      </c>
      <c r="E19" s="1" t="s">
        <v>12</v>
      </c>
      <c r="F19" s="8">
        <f>'Memória de Cálculo'!$I$19</f>
        <v>1723.52</v>
      </c>
      <c r="G19" s="74">
        <v>6.45</v>
      </c>
      <c r="H19" s="55">
        <f>TRUNC(G19+G19*E10,2)</f>
        <v>8.14</v>
      </c>
      <c r="I19" s="56">
        <f>TRUNC(H19*F19,2)</f>
        <v>14029.45</v>
      </c>
      <c r="J19" s="135">
        <f>I19/$I$43</f>
        <v>9.0507181161908375E-3</v>
      </c>
    </row>
    <row r="20" spans="1:12" ht="39.6">
      <c r="A20" s="5" t="s">
        <v>6</v>
      </c>
      <c r="B20" s="7">
        <v>96385</v>
      </c>
      <c r="C20" s="6" t="s">
        <v>15</v>
      </c>
      <c r="D20" s="2" t="s">
        <v>114</v>
      </c>
      <c r="E20" s="1" t="s">
        <v>12</v>
      </c>
      <c r="F20" s="8">
        <f>'Memória de Cálculo'!$I$23</f>
        <v>1704.1804000000002</v>
      </c>
      <c r="G20" s="74">
        <v>12.36</v>
      </c>
      <c r="H20" s="55">
        <f t="shared" ref="H20" si="0">TRUNC(G20+G20*$E$10,2)</f>
        <v>15.6</v>
      </c>
      <c r="I20" s="56">
        <f>TRUNC(H20*F20,2)</f>
        <v>26585.21</v>
      </c>
      <c r="J20" s="135">
        <f>I20/$I$43</f>
        <v>1.7150725208025814E-2</v>
      </c>
    </row>
    <row r="21" spans="1:12" ht="26.4">
      <c r="A21" s="5" t="s">
        <v>174</v>
      </c>
      <c r="B21" s="7">
        <v>6077</v>
      </c>
      <c r="C21" s="6" t="s">
        <v>15</v>
      </c>
      <c r="D21" s="2" t="s">
        <v>154</v>
      </c>
      <c r="E21" s="1" t="s">
        <v>12</v>
      </c>
      <c r="F21" s="8">
        <f>'Memória de Cálculo'!$I$32</f>
        <v>1972.3504</v>
      </c>
      <c r="G21" s="74">
        <v>33.700000000000003</v>
      </c>
      <c r="H21" s="55">
        <f>TRUNC(G21+G21*$F$10,2)</f>
        <v>38.840000000000003</v>
      </c>
      <c r="I21" s="56">
        <f>TRUNC(H21*F21,2)</f>
        <v>76606.080000000002</v>
      </c>
      <c r="J21" s="135">
        <f>I21/$I$43</f>
        <v>4.9420329098173094E-2</v>
      </c>
      <c r="L21" s="154">
        <f>F21*1.6</f>
        <v>3155.7606400000004</v>
      </c>
    </row>
    <row r="22" spans="1:12" ht="39.6">
      <c r="A22" s="5" t="s">
        <v>175</v>
      </c>
      <c r="B22" s="7">
        <v>95877</v>
      </c>
      <c r="C22" s="6" t="s">
        <v>15</v>
      </c>
      <c r="D22" s="2" t="s">
        <v>170</v>
      </c>
      <c r="E22" s="1" t="s">
        <v>153</v>
      </c>
      <c r="F22" s="8">
        <f>'Memória de Cálculo'!$I$40</f>
        <v>16364.4804</v>
      </c>
      <c r="G22" s="74">
        <v>1.84</v>
      </c>
      <c r="H22" s="55">
        <f>TRUNC(G22+G22*$F$10,2)</f>
        <v>2.12</v>
      </c>
      <c r="I22" s="56">
        <f>TRUNC(H22*F22,2)</f>
        <v>34692.69</v>
      </c>
      <c r="J22" s="135">
        <f>I22/$I$43</f>
        <v>2.2381045435308774E-2</v>
      </c>
    </row>
    <row r="23" spans="1:12" ht="13.8">
      <c r="A23" s="160"/>
      <c r="B23" s="161"/>
      <c r="C23" s="161"/>
      <c r="D23" s="161"/>
      <c r="E23" s="161"/>
      <c r="F23" s="161"/>
      <c r="G23" s="161"/>
      <c r="H23" s="161"/>
      <c r="I23" s="161"/>
      <c r="J23" s="162"/>
      <c r="K23" s="57"/>
    </row>
    <row r="24" spans="1:12" ht="12.75" customHeight="1">
      <c r="A24" s="158" t="s">
        <v>176</v>
      </c>
      <c r="B24" s="159"/>
      <c r="C24" s="159"/>
      <c r="D24" s="159"/>
      <c r="E24" s="159"/>
      <c r="F24" s="159"/>
      <c r="G24" s="159"/>
      <c r="H24" s="159"/>
      <c r="I24" s="132">
        <f>TRUNC((SUM(I25:I26)),2)</f>
        <v>1075871.52</v>
      </c>
      <c r="J24" s="133">
        <f>I24/$I$43</f>
        <v>0.69406925123634722</v>
      </c>
    </row>
    <row r="25" spans="1:12" ht="26.4">
      <c r="A25" s="5" t="s">
        <v>7</v>
      </c>
      <c r="B25" s="7">
        <v>102487</v>
      </c>
      <c r="C25" s="6" t="s">
        <v>15</v>
      </c>
      <c r="D25" s="2" t="s">
        <v>115</v>
      </c>
      <c r="E25" s="1" t="s">
        <v>12</v>
      </c>
      <c r="F25" s="8">
        <f>'Memória de Cálculo'!$I$49</f>
        <v>1303.0607999999997</v>
      </c>
      <c r="G25" s="74">
        <v>589.63</v>
      </c>
      <c r="H25" s="55">
        <f t="shared" ref="H25:H26" si="1">TRUNC(G25+G25*$E$10,2)</f>
        <v>744.34</v>
      </c>
      <c r="I25" s="56">
        <f>TRUNC(H25*F25,2)</f>
        <v>969920.27</v>
      </c>
      <c r="J25" s="135">
        <f>I25/$I$43</f>
        <v>0.62571768379727699</v>
      </c>
      <c r="L25" s="154">
        <f>F25*2.4</f>
        <v>3127.3459199999993</v>
      </c>
    </row>
    <row r="26" spans="1:12" ht="52.8">
      <c r="A26" s="5" t="s">
        <v>8</v>
      </c>
      <c r="B26" s="7">
        <v>100341</v>
      </c>
      <c r="C26" s="6" t="s">
        <v>15</v>
      </c>
      <c r="D26" s="2" t="s">
        <v>121</v>
      </c>
      <c r="E26" s="1" t="s">
        <v>2</v>
      </c>
      <c r="F26" s="8">
        <f>'Memória de Cálculo'!$I$73</f>
        <v>2210.0804000000003</v>
      </c>
      <c r="G26" s="74">
        <v>37.979999999999997</v>
      </c>
      <c r="H26" s="55">
        <f t="shared" si="1"/>
        <v>47.94</v>
      </c>
      <c r="I26" s="56">
        <f>TRUNC(H26*F26,2)</f>
        <v>105951.25</v>
      </c>
      <c r="J26" s="135">
        <f>I26/$I$43</f>
        <v>6.8351567439070268E-2</v>
      </c>
    </row>
    <row r="27" spans="1:12" ht="13.8">
      <c r="A27" s="160"/>
      <c r="B27" s="161"/>
      <c r="C27" s="161"/>
      <c r="D27" s="161"/>
      <c r="E27" s="161"/>
      <c r="F27" s="161"/>
      <c r="G27" s="161"/>
      <c r="H27" s="161"/>
      <c r="I27" s="161"/>
      <c r="J27" s="162"/>
      <c r="K27" s="57"/>
    </row>
    <row r="28" spans="1:12" ht="12.75" customHeight="1">
      <c r="A28" s="158" t="s">
        <v>177</v>
      </c>
      <c r="B28" s="159"/>
      <c r="C28" s="159"/>
      <c r="D28" s="159"/>
      <c r="E28" s="159"/>
      <c r="F28" s="159"/>
      <c r="G28" s="159"/>
      <c r="H28" s="159"/>
      <c r="I28" s="132">
        <f>TRUNC((SUM(I29:I29)),2)</f>
        <v>184206.72</v>
      </c>
      <c r="J28" s="133">
        <f>I28/$I$43</f>
        <v>0.11883595563818203</v>
      </c>
    </row>
    <row r="29" spans="1:12" ht="52.8">
      <c r="A29" s="5" t="s">
        <v>9</v>
      </c>
      <c r="B29" s="7">
        <v>92216</v>
      </c>
      <c r="C29" s="6" t="s">
        <v>15</v>
      </c>
      <c r="D29" s="2" t="s">
        <v>156</v>
      </c>
      <c r="E29" s="1" t="s">
        <v>1</v>
      </c>
      <c r="F29" s="8">
        <f>'Memória de Cálculo'!$I$100</f>
        <v>296</v>
      </c>
      <c r="G29" s="74">
        <v>492.97</v>
      </c>
      <c r="H29" s="55">
        <f t="shared" ref="H29" si="2">TRUNC(G29+G29*$E$10,2)</f>
        <v>622.32000000000005</v>
      </c>
      <c r="I29" s="56">
        <f t="shared" ref="I29" si="3">TRUNC(H29*F29,2)</f>
        <v>184206.72</v>
      </c>
      <c r="J29" s="135">
        <f>I29/$I$43</f>
        <v>0.11883595563818203</v>
      </c>
    </row>
    <row r="30" spans="1:12" ht="13.8">
      <c r="A30" s="160"/>
      <c r="B30" s="161"/>
      <c r="C30" s="161"/>
      <c r="D30" s="161"/>
      <c r="E30" s="161"/>
      <c r="F30" s="161"/>
      <c r="G30" s="161"/>
      <c r="H30" s="161"/>
      <c r="I30" s="161"/>
      <c r="J30" s="162"/>
      <c r="K30" s="57"/>
    </row>
    <row r="31" spans="1:12" ht="12.75" customHeight="1">
      <c r="A31" s="158" t="s">
        <v>178</v>
      </c>
      <c r="B31" s="159"/>
      <c r="C31" s="159"/>
      <c r="D31" s="159"/>
      <c r="E31" s="159"/>
      <c r="F31" s="159"/>
      <c r="G31" s="159"/>
      <c r="H31" s="159"/>
      <c r="I31" s="132">
        <f>TRUNC((SUM(I32:I37)),2)</f>
        <v>133245.35999999999</v>
      </c>
      <c r="J31" s="133">
        <f t="shared" ref="J31:J37" si="4">I31/$I$43</f>
        <v>8.5959620202528939E-2</v>
      </c>
    </row>
    <row r="32" spans="1:12" ht="39.6">
      <c r="A32" s="5" t="s">
        <v>10</v>
      </c>
      <c r="B32" s="7">
        <v>94973</v>
      </c>
      <c r="C32" s="6" t="s">
        <v>15</v>
      </c>
      <c r="D32" s="2" t="s">
        <v>117</v>
      </c>
      <c r="E32" s="1" t="s">
        <v>12</v>
      </c>
      <c r="F32" s="8">
        <f>'Memória de Cálculo'!I103</f>
        <v>119.24</v>
      </c>
      <c r="G32" s="74">
        <v>575.82000000000005</v>
      </c>
      <c r="H32" s="55">
        <f t="shared" ref="H32:H37" si="5">TRUNC(G32+G32*$E$10,2)</f>
        <v>726.91</v>
      </c>
      <c r="I32" s="56">
        <f t="shared" ref="I32:I35" si="6">TRUNC(H32*F32,2)</f>
        <v>86676.74</v>
      </c>
      <c r="J32" s="135">
        <f t="shared" si="4"/>
        <v>5.5917141510919026E-2</v>
      </c>
    </row>
    <row r="33" spans="1:11" ht="26.4">
      <c r="A33" s="5" t="s">
        <v>179</v>
      </c>
      <c r="B33" s="7">
        <v>97113</v>
      </c>
      <c r="C33" s="6" t="s">
        <v>15</v>
      </c>
      <c r="D33" s="2" t="s">
        <v>118</v>
      </c>
      <c r="E33" s="1" t="s">
        <v>2</v>
      </c>
      <c r="F33" s="8">
        <f>'Memória de Cálculo'!I104</f>
        <v>794.96</v>
      </c>
      <c r="G33" s="74">
        <v>2.59</v>
      </c>
      <c r="H33" s="55">
        <f t="shared" si="5"/>
        <v>3.26</v>
      </c>
      <c r="I33" s="56">
        <f t="shared" si="6"/>
        <v>2591.56</v>
      </c>
      <c r="J33" s="135">
        <f t="shared" si="4"/>
        <v>1.6718744527544219E-3</v>
      </c>
    </row>
    <row r="34" spans="1:11" ht="26.4">
      <c r="A34" s="5" t="s">
        <v>180</v>
      </c>
      <c r="B34" s="7">
        <v>97090</v>
      </c>
      <c r="C34" s="6" t="s">
        <v>15</v>
      </c>
      <c r="D34" s="2" t="s">
        <v>137</v>
      </c>
      <c r="E34" s="1" t="s">
        <v>103</v>
      </c>
      <c r="F34" s="8">
        <f>'Memória de Cálculo'!I105</f>
        <v>1776.5</v>
      </c>
      <c r="G34" s="74">
        <v>14.72</v>
      </c>
      <c r="H34" s="55">
        <f t="shared" si="5"/>
        <v>18.579999999999998</v>
      </c>
      <c r="I34" s="56">
        <f t="shared" si="6"/>
        <v>33007.370000000003</v>
      </c>
      <c r="J34" s="135">
        <f t="shared" si="4"/>
        <v>2.1293807072038744E-2</v>
      </c>
    </row>
    <row r="35" spans="1:11" ht="39.6">
      <c r="A35" s="5" t="s">
        <v>181</v>
      </c>
      <c r="B35" s="7">
        <v>92917</v>
      </c>
      <c r="C35" s="6" t="s">
        <v>15</v>
      </c>
      <c r="D35" s="2" t="s">
        <v>139</v>
      </c>
      <c r="E35" s="1" t="s">
        <v>103</v>
      </c>
      <c r="F35" s="8">
        <f>'Memória de Cálculo'!I106</f>
        <v>38.35</v>
      </c>
      <c r="G35" s="74">
        <v>15.41</v>
      </c>
      <c r="H35" s="55">
        <f t="shared" ref="H35" si="7">TRUNC(G35+G35*$E$10,2)</f>
        <v>19.45</v>
      </c>
      <c r="I35" s="56">
        <f t="shared" si="6"/>
        <v>745.9</v>
      </c>
      <c r="J35" s="135">
        <f t="shared" ref="J35" si="8">I35/$I$43</f>
        <v>4.81197099164026E-4</v>
      </c>
    </row>
    <row r="36" spans="1:11" ht="52.8">
      <c r="A36" s="5" t="s">
        <v>182</v>
      </c>
      <c r="B36" s="7">
        <v>92922</v>
      </c>
      <c r="C36" s="6" t="s">
        <v>15</v>
      </c>
      <c r="D36" s="2" t="s">
        <v>138</v>
      </c>
      <c r="E36" s="1" t="s">
        <v>103</v>
      </c>
      <c r="F36" s="8">
        <f>'Memória de Cálculo'!I107</f>
        <v>359.79</v>
      </c>
      <c r="G36" s="74">
        <v>10.86</v>
      </c>
      <c r="H36" s="55">
        <f t="shared" si="5"/>
        <v>13.7</v>
      </c>
      <c r="I36" s="56">
        <f t="shared" ref="I36" si="9">TRUNC(H36*F36,2)</f>
        <v>4929.12</v>
      </c>
      <c r="J36" s="135">
        <f t="shared" si="4"/>
        <v>3.1798877134084783E-3</v>
      </c>
    </row>
    <row r="37" spans="1:11" ht="39.6">
      <c r="A37" s="5" t="s">
        <v>183</v>
      </c>
      <c r="B37" s="7">
        <v>97086</v>
      </c>
      <c r="C37" s="6" t="s">
        <v>15</v>
      </c>
      <c r="D37" s="2" t="s">
        <v>122</v>
      </c>
      <c r="E37" s="1" t="s">
        <v>2</v>
      </c>
      <c r="F37" s="8">
        <f>'Memória de Cálculo'!I108</f>
        <v>32.21</v>
      </c>
      <c r="G37" s="74">
        <v>130.22</v>
      </c>
      <c r="H37" s="55">
        <f t="shared" si="5"/>
        <v>164.38</v>
      </c>
      <c r="I37" s="56">
        <f t="shared" ref="I37" si="10">TRUNC(H37*F37,2)</f>
        <v>5294.67</v>
      </c>
      <c r="J37" s="135">
        <f t="shared" si="4"/>
        <v>3.4157123542442602E-3</v>
      </c>
    </row>
    <row r="38" spans="1:11" ht="13.8">
      <c r="A38" s="160"/>
      <c r="B38" s="161"/>
      <c r="C38" s="161"/>
      <c r="D38" s="161"/>
      <c r="E38" s="161"/>
      <c r="F38" s="161"/>
      <c r="G38" s="161"/>
      <c r="H38" s="161"/>
      <c r="I38" s="161"/>
      <c r="J38" s="162"/>
      <c r="K38" s="57"/>
    </row>
    <row r="39" spans="1:11" ht="12.75" customHeight="1">
      <c r="A39" s="158" t="s">
        <v>184</v>
      </c>
      <c r="B39" s="159"/>
      <c r="C39" s="159"/>
      <c r="D39" s="159"/>
      <c r="E39" s="159"/>
      <c r="F39" s="159"/>
      <c r="G39" s="159"/>
      <c r="H39" s="159"/>
      <c r="I39" s="132">
        <f>TRUNC((SUM(I40:I40)),2)</f>
        <v>1929.9</v>
      </c>
      <c r="J39" s="133">
        <f>I39/$I$43</f>
        <v>1.2450224985610053E-3</v>
      </c>
    </row>
    <row r="40" spans="1:11" ht="26.4">
      <c r="A40" s="5" t="s">
        <v>11</v>
      </c>
      <c r="B40" s="3" t="s">
        <v>104</v>
      </c>
      <c r="C40" s="1" t="s">
        <v>85</v>
      </c>
      <c r="D40" s="2" t="s">
        <v>119</v>
      </c>
      <c r="E40" s="1" t="s">
        <v>120</v>
      </c>
      <c r="F40" s="8">
        <f>'Memória de Cálculo'!$I$111</f>
        <v>42</v>
      </c>
      <c r="G40" s="74">
        <f>'Composições Unitárias'!$H$42</f>
        <v>36.399999999999991</v>
      </c>
      <c r="H40" s="55">
        <f t="shared" ref="H40" si="11">TRUNC(G40+G40*$E$10,2)</f>
        <v>45.95</v>
      </c>
      <c r="I40" s="56">
        <f t="shared" ref="I40" si="12">TRUNC(H40*F40,2)</f>
        <v>1929.9</v>
      </c>
      <c r="J40" s="135">
        <f>I40/$I$43</f>
        <v>1.2450224985610053E-3</v>
      </c>
    </row>
    <row r="41" spans="1:11" ht="13.8">
      <c r="A41" s="160"/>
      <c r="B41" s="161"/>
      <c r="C41" s="161"/>
      <c r="D41" s="161"/>
      <c r="E41" s="161"/>
      <c r="F41" s="161"/>
      <c r="G41" s="161"/>
      <c r="H41" s="161"/>
      <c r="I41" s="161"/>
      <c r="J41" s="162"/>
      <c r="K41" s="57"/>
    </row>
    <row r="42" spans="1:11">
      <c r="A42" s="175"/>
      <c r="B42" s="175"/>
      <c r="C42" s="175"/>
      <c r="D42" s="175"/>
      <c r="E42" s="175"/>
      <c r="F42" s="175"/>
      <c r="G42" s="175"/>
      <c r="H42" s="175"/>
      <c r="I42" s="175"/>
      <c r="J42" s="29"/>
    </row>
    <row r="43" spans="1:11" ht="13.8">
      <c r="A43" s="176" t="s">
        <v>75</v>
      </c>
      <c r="B43" s="176"/>
      <c r="C43" s="176"/>
      <c r="D43" s="176"/>
      <c r="E43" s="176"/>
      <c r="F43" s="176"/>
      <c r="G43" s="176"/>
      <c r="H43" s="176"/>
      <c r="I43" s="58">
        <f>TRUNC(SUM(I39,I31,I24,I18,I14,I28),2)</f>
        <v>1550092.47</v>
      </c>
      <c r="J43" s="134">
        <f>SUM(J39,J31,J24,J18,J14,J28)</f>
        <v>1</v>
      </c>
    </row>
    <row r="44" spans="1:11">
      <c r="A44" s="59"/>
      <c r="B44" s="59"/>
      <c r="C44" s="59"/>
      <c r="D44" s="60"/>
      <c r="E44" s="59"/>
      <c r="F44" s="59"/>
      <c r="G44" s="59"/>
      <c r="H44" s="59"/>
      <c r="I44" s="59"/>
    </row>
    <row r="45" spans="1:11">
      <c r="A45" s="59"/>
      <c r="B45" s="59"/>
      <c r="C45" s="59"/>
      <c r="D45" s="60"/>
      <c r="E45" s="59"/>
      <c r="F45" s="137" t="e">
        <f>#REF!+#REF!+#REF!+#REF!+#REF!+#REF!+#REF!</f>
        <v>#REF!</v>
      </c>
      <c r="G45" s="59"/>
      <c r="H45" s="59"/>
      <c r="I45" s="138"/>
    </row>
    <row r="46" spans="1:11">
      <c r="A46" s="59"/>
      <c r="B46" s="59"/>
      <c r="C46" s="59"/>
      <c r="D46" s="60"/>
      <c r="E46" s="59"/>
      <c r="F46" s="59" t="e">
        <f>I43/F45</f>
        <v>#REF!</v>
      </c>
      <c r="G46" s="59"/>
      <c r="H46" s="59"/>
      <c r="I46" s="138"/>
    </row>
    <row r="47" spans="1:11">
      <c r="A47" s="59"/>
      <c r="B47" s="59"/>
      <c r="C47" s="59"/>
      <c r="D47" s="60"/>
      <c r="E47" s="59"/>
      <c r="F47" s="59"/>
      <c r="G47" s="59"/>
      <c r="H47" s="59"/>
      <c r="I47" s="59"/>
    </row>
    <row r="48" spans="1:11">
      <c r="A48" s="59"/>
      <c r="B48" s="59"/>
      <c r="C48" s="59"/>
      <c r="D48" s="155">
        <f>573461.27-481104</f>
        <v>92357.270000000019</v>
      </c>
      <c r="E48" s="59"/>
      <c r="F48" s="59"/>
      <c r="G48" s="59"/>
      <c r="H48" s="59"/>
      <c r="I48" s="59"/>
    </row>
    <row r="49" spans="1:9">
      <c r="A49" s="59"/>
      <c r="B49" s="59"/>
      <c r="C49" s="59"/>
      <c r="D49" s="60"/>
      <c r="E49" s="59"/>
      <c r="F49" s="59"/>
      <c r="G49" s="59"/>
      <c r="H49" s="138">
        <f>1500000-I43</f>
        <v>-50092.469999999972</v>
      </c>
      <c r="I49" s="59"/>
    </row>
    <row r="50" spans="1:9">
      <c r="A50" s="59"/>
      <c r="B50" s="59"/>
      <c r="C50" s="59"/>
      <c r="D50" s="60"/>
      <c r="E50" s="59"/>
      <c r="F50" s="59"/>
      <c r="G50" s="59"/>
      <c r="H50" s="59" t="e">
        <f>H49/F46</f>
        <v>#REF!</v>
      </c>
      <c r="I50" s="59" t="e">
        <f>H50/7.6</f>
        <v>#REF!</v>
      </c>
    </row>
    <row r="51" spans="1:9">
      <c r="A51" s="59"/>
      <c r="B51" s="59"/>
      <c r="C51" s="59"/>
      <c r="D51" s="60"/>
      <c r="E51" s="59"/>
      <c r="F51" s="59">
        <f>103*6.5</f>
        <v>669.5</v>
      </c>
      <c r="G51" s="59"/>
      <c r="H51" s="59"/>
      <c r="I51" s="59"/>
    </row>
    <row r="52" spans="1:9">
      <c r="A52" s="59"/>
      <c r="B52" s="59"/>
      <c r="C52" s="59"/>
      <c r="D52" s="60"/>
      <c r="E52" s="59"/>
      <c r="F52" s="59"/>
      <c r="G52" s="59"/>
      <c r="H52" s="59"/>
      <c r="I52" s="59"/>
    </row>
    <row r="53" spans="1:9">
      <c r="A53" s="59"/>
      <c r="B53" s="59"/>
      <c r="C53" s="59"/>
      <c r="D53" s="60"/>
      <c r="E53" s="59"/>
      <c r="F53" s="59"/>
      <c r="G53" s="59"/>
      <c r="H53" s="59"/>
      <c r="I53" s="59"/>
    </row>
    <row r="54" spans="1:9">
      <c r="A54" s="59"/>
      <c r="B54" s="59"/>
      <c r="C54" s="59"/>
      <c r="D54" s="60"/>
      <c r="E54" s="59"/>
      <c r="F54" s="59"/>
      <c r="G54" s="59"/>
      <c r="H54" s="59"/>
      <c r="I54" s="59"/>
    </row>
    <row r="55" spans="1:9">
      <c r="A55" s="59"/>
      <c r="B55" s="59"/>
      <c r="C55" s="59"/>
      <c r="D55" s="60"/>
      <c r="E55" s="59"/>
      <c r="F55" s="59"/>
      <c r="G55" s="59"/>
      <c r="H55" s="59"/>
      <c r="I55" s="59"/>
    </row>
    <row r="56" spans="1:9">
      <c r="A56" s="59"/>
      <c r="B56" s="59"/>
      <c r="C56" s="59"/>
      <c r="D56" s="60"/>
      <c r="E56" s="59"/>
      <c r="F56" s="59"/>
      <c r="G56" s="59"/>
      <c r="H56" s="59"/>
      <c r="I56" s="59"/>
    </row>
    <row r="57" spans="1:9">
      <c r="A57" s="59"/>
      <c r="B57" s="59"/>
      <c r="C57" s="59"/>
      <c r="D57" s="60"/>
      <c r="E57" s="59"/>
      <c r="F57" s="59"/>
      <c r="G57" s="59"/>
      <c r="H57" s="59"/>
      <c r="I57" s="59"/>
    </row>
    <row r="58" spans="1:9">
      <c r="A58" s="59"/>
      <c r="B58" s="59"/>
      <c r="C58" s="59"/>
      <c r="D58" s="60"/>
      <c r="E58" s="59"/>
      <c r="F58" s="59"/>
      <c r="G58" s="59"/>
      <c r="H58" s="59"/>
      <c r="I58" s="59"/>
    </row>
    <row r="59" spans="1:9">
      <c r="A59" s="59"/>
      <c r="B59" s="59"/>
      <c r="C59" s="59"/>
      <c r="D59" s="60"/>
      <c r="E59" s="59"/>
      <c r="F59" s="59"/>
      <c r="G59" s="59"/>
      <c r="H59" s="59"/>
      <c r="I59" s="59"/>
    </row>
    <row r="60" spans="1:9">
      <c r="A60" s="59"/>
      <c r="B60" s="59"/>
      <c r="C60" s="59"/>
      <c r="D60" s="60"/>
      <c r="E60" s="59"/>
      <c r="F60" s="59"/>
      <c r="G60" s="59"/>
      <c r="H60" s="59"/>
      <c r="I60" s="59"/>
    </row>
    <row r="61" spans="1:9">
      <c r="A61" s="59"/>
      <c r="B61" s="59"/>
      <c r="C61" s="59"/>
      <c r="D61" s="60"/>
      <c r="E61" s="59"/>
      <c r="F61" s="59"/>
      <c r="G61" s="59"/>
      <c r="H61" s="59"/>
      <c r="I61" s="59"/>
    </row>
    <row r="62" spans="1:9">
      <c r="A62" s="59"/>
      <c r="B62" s="59"/>
      <c r="C62" s="59"/>
      <c r="D62" s="60"/>
      <c r="E62" s="59"/>
      <c r="F62" s="59"/>
      <c r="G62" s="59"/>
      <c r="H62" s="59"/>
      <c r="I62" s="59"/>
    </row>
    <row r="63" spans="1:9">
      <c r="A63" s="59"/>
      <c r="B63" s="59"/>
      <c r="C63" s="59"/>
      <c r="D63" s="60"/>
      <c r="E63" s="59"/>
      <c r="F63" s="59"/>
      <c r="G63" s="59"/>
      <c r="H63" s="59"/>
      <c r="I63" s="59"/>
    </row>
    <row r="64" spans="1:9">
      <c r="A64" s="59"/>
      <c r="B64" s="59"/>
      <c r="C64" s="59"/>
      <c r="D64" s="60"/>
      <c r="E64" s="59"/>
      <c r="F64" s="59"/>
      <c r="G64" s="59"/>
      <c r="H64" s="59"/>
      <c r="I64" s="59"/>
    </row>
    <row r="65" spans="1:9">
      <c r="A65" s="59"/>
      <c r="B65" s="59"/>
      <c r="C65" s="59"/>
      <c r="D65" s="60"/>
      <c r="E65" s="59"/>
      <c r="F65" s="59"/>
      <c r="G65" s="59"/>
      <c r="H65" s="59"/>
      <c r="I65" s="59"/>
    </row>
    <row r="66" spans="1:9">
      <c r="A66" s="59"/>
      <c r="B66" s="59"/>
      <c r="C66" s="59"/>
      <c r="D66" s="60"/>
      <c r="E66" s="59"/>
      <c r="F66" s="59"/>
      <c r="G66" s="59"/>
      <c r="H66" s="59"/>
      <c r="I66" s="59"/>
    </row>
    <row r="67" spans="1:9">
      <c r="A67" s="59"/>
      <c r="B67" s="59"/>
      <c r="C67" s="59"/>
      <c r="D67" s="60"/>
      <c r="E67" s="59"/>
      <c r="F67" s="59"/>
      <c r="G67" s="59"/>
      <c r="H67" s="59"/>
      <c r="I67" s="59"/>
    </row>
    <row r="68" spans="1:9">
      <c r="A68" s="59"/>
      <c r="B68" s="59"/>
      <c r="C68" s="59"/>
      <c r="D68" s="60"/>
      <c r="E68" s="59"/>
      <c r="F68" s="59"/>
      <c r="G68" s="59"/>
      <c r="H68" s="59"/>
      <c r="I68" s="59"/>
    </row>
    <row r="69" spans="1:9">
      <c r="A69" s="59"/>
      <c r="B69" s="59"/>
      <c r="C69" s="59"/>
      <c r="D69" s="60"/>
      <c r="E69" s="59"/>
      <c r="F69" s="59"/>
      <c r="G69" s="59"/>
      <c r="H69" s="59"/>
      <c r="I69" s="59"/>
    </row>
    <row r="70" spans="1:9">
      <c r="A70" s="59"/>
      <c r="B70" s="59"/>
      <c r="C70" s="59"/>
      <c r="D70" s="60"/>
      <c r="E70" s="59"/>
      <c r="F70" s="59"/>
      <c r="G70" s="59"/>
      <c r="H70" s="59"/>
      <c r="I70" s="59"/>
    </row>
    <row r="71" spans="1:9">
      <c r="A71" s="59"/>
      <c r="B71" s="59"/>
      <c r="C71" s="59"/>
      <c r="D71" s="60"/>
      <c r="E71" s="59"/>
      <c r="F71" s="59"/>
      <c r="G71" s="59"/>
      <c r="H71" s="59"/>
      <c r="I71" s="59"/>
    </row>
    <row r="72" spans="1:9">
      <c r="A72" s="59"/>
      <c r="B72" s="59"/>
      <c r="C72" s="59"/>
      <c r="D72" s="60"/>
      <c r="E72" s="59"/>
      <c r="F72" s="59"/>
      <c r="G72" s="59"/>
      <c r="H72" s="59"/>
      <c r="I72" s="59"/>
    </row>
    <row r="73" spans="1:9">
      <c r="A73" s="59"/>
      <c r="B73" s="59"/>
      <c r="C73" s="59"/>
      <c r="D73" s="60"/>
      <c r="E73" s="59"/>
      <c r="F73" s="59"/>
      <c r="G73" s="59"/>
      <c r="H73" s="59"/>
      <c r="I73" s="59"/>
    </row>
    <row r="74" spans="1:9">
      <c r="A74" s="59"/>
      <c r="B74" s="59"/>
      <c r="C74" s="59"/>
      <c r="D74" s="60"/>
      <c r="E74" s="59"/>
      <c r="F74" s="59"/>
      <c r="G74" s="59"/>
      <c r="H74" s="59"/>
      <c r="I74" s="59"/>
    </row>
    <row r="75" spans="1:9">
      <c r="A75" s="59"/>
      <c r="B75" s="59"/>
      <c r="C75" s="59"/>
      <c r="D75" s="60"/>
      <c r="E75" s="59"/>
      <c r="F75" s="59"/>
      <c r="G75" s="59"/>
      <c r="H75" s="59"/>
      <c r="I75" s="59"/>
    </row>
    <row r="76" spans="1:9">
      <c r="A76" s="59"/>
      <c r="B76" s="59"/>
      <c r="C76" s="59"/>
      <c r="D76" s="60"/>
      <c r="E76" s="59"/>
      <c r="F76" s="59"/>
      <c r="G76" s="59"/>
      <c r="H76" s="59"/>
      <c r="I76" s="59"/>
    </row>
    <row r="77" spans="1:9">
      <c r="A77" s="59"/>
      <c r="B77" s="59"/>
      <c r="C77" s="59"/>
      <c r="D77" s="60"/>
      <c r="E77" s="59"/>
      <c r="F77" s="59"/>
      <c r="G77" s="59"/>
      <c r="H77" s="59"/>
      <c r="I77" s="59"/>
    </row>
    <row r="78" spans="1:9">
      <c r="A78" s="59"/>
      <c r="B78" s="59"/>
      <c r="C78" s="59"/>
      <c r="D78" s="60"/>
      <c r="E78" s="59"/>
      <c r="F78" s="59"/>
      <c r="G78" s="59"/>
      <c r="H78" s="59"/>
      <c r="I78" s="59"/>
    </row>
    <row r="79" spans="1:9">
      <c r="A79" s="59"/>
      <c r="B79" s="59"/>
      <c r="C79" s="59"/>
      <c r="D79" s="60"/>
      <c r="E79" s="59"/>
      <c r="F79" s="59"/>
      <c r="G79" s="59"/>
      <c r="H79" s="59"/>
      <c r="I79" s="59"/>
    </row>
    <row r="80" spans="1:9">
      <c r="A80" s="59"/>
      <c r="B80" s="59"/>
      <c r="C80" s="59"/>
      <c r="D80" s="60"/>
      <c r="E80" s="59"/>
      <c r="F80" s="59"/>
      <c r="G80" s="59"/>
      <c r="H80" s="59"/>
      <c r="I80" s="59"/>
    </row>
    <row r="81" spans="1:9">
      <c r="A81" s="59"/>
      <c r="B81" s="59"/>
      <c r="C81" s="59"/>
      <c r="D81" s="60"/>
      <c r="E81" s="59"/>
      <c r="F81" s="59"/>
      <c r="G81" s="59"/>
      <c r="H81" s="59"/>
      <c r="I81" s="59"/>
    </row>
    <row r="82" spans="1:9">
      <c r="A82" s="59"/>
      <c r="B82" s="59"/>
      <c r="C82" s="59"/>
      <c r="D82" s="60"/>
      <c r="E82" s="59"/>
      <c r="F82" s="59"/>
      <c r="G82" s="59"/>
      <c r="H82" s="59"/>
      <c r="I82" s="59"/>
    </row>
    <row r="83" spans="1:9">
      <c r="A83" s="59"/>
      <c r="B83" s="59"/>
      <c r="C83" s="59"/>
      <c r="D83" s="60"/>
      <c r="E83" s="59"/>
      <c r="F83" s="59"/>
      <c r="G83" s="59"/>
      <c r="H83" s="59"/>
      <c r="I83" s="59"/>
    </row>
    <row r="84" spans="1:9">
      <c r="A84" s="59"/>
      <c r="B84" s="59"/>
      <c r="C84" s="59"/>
      <c r="D84" s="60"/>
      <c r="E84" s="59"/>
      <c r="F84" s="59"/>
      <c r="G84" s="59"/>
      <c r="H84" s="59"/>
      <c r="I84" s="59"/>
    </row>
    <row r="85" spans="1:9">
      <c r="A85" s="59"/>
      <c r="B85" s="59"/>
      <c r="C85" s="59"/>
      <c r="D85" s="60"/>
      <c r="E85" s="59"/>
      <c r="F85" s="59"/>
      <c r="G85" s="59"/>
      <c r="H85" s="59"/>
      <c r="I85" s="59"/>
    </row>
    <row r="86" spans="1:9">
      <c r="A86" s="59"/>
      <c r="B86" s="59"/>
      <c r="C86" s="59"/>
      <c r="D86" s="60"/>
      <c r="E86" s="59"/>
      <c r="F86" s="59"/>
      <c r="G86" s="59"/>
      <c r="H86" s="59"/>
      <c r="I86" s="59"/>
    </row>
    <row r="87" spans="1:9">
      <c r="A87" s="59"/>
      <c r="B87" s="59"/>
      <c r="C87" s="59"/>
      <c r="D87" s="60"/>
      <c r="E87" s="59"/>
      <c r="F87" s="59"/>
      <c r="G87" s="59"/>
      <c r="H87" s="59"/>
      <c r="I87" s="59"/>
    </row>
    <row r="88" spans="1:9">
      <c r="A88" s="59"/>
      <c r="B88" s="59"/>
      <c r="C88" s="59"/>
      <c r="D88" s="60"/>
      <c r="E88" s="59"/>
      <c r="F88" s="59"/>
      <c r="G88" s="59"/>
      <c r="H88" s="59"/>
      <c r="I88" s="59"/>
    </row>
    <row r="89" spans="1:9">
      <c r="A89" s="59"/>
      <c r="B89" s="59"/>
      <c r="C89" s="59"/>
      <c r="D89" s="60"/>
      <c r="E89" s="59"/>
      <c r="F89" s="59"/>
      <c r="G89" s="59"/>
      <c r="H89" s="59"/>
      <c r="I89" s="59"/>
    </row>
    <row r="90" spans="1:9">
      <c r="A90" s="59"/>
      <c r="B90" s="59"/>
      <c r="C90" s="59"/>
      <c r="D90" s="60"/>
      <c r="E90" s="59"/>
      <c r="F90" s="59"/>
      <c r="G90" s="59"/>
      <c r="H90" s="59"/>
      <c r="I90" s="59"/>
    </row>
    <row r="91" spans="1:9">
      <c r="A91" s="59"/>
      <c r="B91" s="59"/>
      <c r="C91" s="59"/>
      <c r="D91" s="60"/>
      <c r="E91" s="59"/>
      <c r="F91" s="59"/>
      <c r="G91" s="59"/>
      <c r="H91" s="59"/>
      <c r="I91" s="59"/>
    </row>
    <row r="92" spans="1:9">
      <c r="A92" s="59"/>
      <c r="B92" s="59"/>
      <c r="C92" s="59"/>
      <c r="D92" s="60"/>
      <c r="E92" s="59"/>
      <c r="F92" s="59"/>
      <c r="G92" s="59"/>
      <c r="H92" s="59"/>
      <c r="I92" s="59"/>
    </row>
    <row r="93" spans="1:9">
      <c r="A93" s="59"/>
      <c r="B93" s="59"/>
      <c r="C93" s="59"/>
      <c r="D93" s="60"/>
      <c r="E93" s="59"/>
      <c r="F93" s="59"/>
      <c r="G93" s="59"/>
      <c r="H93" s="59"/>
      <c r="I93" s="59"/>
    </row>
    <row r="94" spans="1:9">
      <c r="A94" s="59"/>
      <c r="B94" s="59"/>
      <c r="C94" s="59"/>
      <c r="D94" s="60"/>
      <c r="E94" s="59"/>
      <c r="F94" s="59"/>
      <c r="G94" s="59"/>
      <c r="H94" s="59"/>
      <c r="I94" s="59"/>
    </row>
    <row r="95" spans="1:9">
      <c r="A95" s="59"/>
      <c r="B95" s="59"/>
      <c r="C95" s="59"/>
      <c r="D95" s="60"/>
      <c r="E95" s="59"/>
      <c r="F95" s="59"/>
      <c r="G95" s="59"/>
      <c r="H95" s="59"/>
      <c r="I95" s="59"/>
    </row>
    <row r="96" spans="1:9">
      <c r="A96" s="59"/>
      <c r="B96" s="59"/>
      <c r="C96" s="59"/>
      <c r="D96" s="60"/>
      <c r="E96" s="59"/>
      <c r="F96" s="59"/>
      <c r="G96" s="59"/>
      <c r="H96" s="59"/>
      <c r="I96" s="59"/>
    </row>
    <row r="97" spans="1:9">
      <c r="A97" s="59"/>
      <c r="B97" s="59"/>
      <c r="C97" s="59"/>
      <c r="D97" s="60"/>
      <c r="E97" s="59"/>
      <c r="F97" s="59"/>
      <c r="G97" s="59"/>
      <c r="H97" s="59"/>
      <c r="I97" s="59"/>
    </row>
    <row r="98" spans="1:9">
      <c r="A98" s="59"/>
      <c r="B98" s="59"/>
      <c r="C98" s="59"/>
      <c r="D98" s="60"/>
      <c r="E98" s="59"/>
      <c r="F98" s="59"/>
      <c r="G98" s="59"/>
      <c r="H98" s="59"/>
      <c r="I98" s="59"/>
    </row>
    <row r="99" spans="1:9">
      <c r="A99" s="59"/>
      <c r="B99" s="59"/>
      <c r="C99" s="59"/>
      <c r="D99" s="60"/>
      <c r="E99" s="59"/>
      <c r="F99" s="59"/>
      <c r="G99" s="59"/>
      <c r="H99" s="59"/>
      <c r="I99" s="59"/>
    </row>
    <row r="100" spans="1:9">
      <c r="A100" s="59"/>
      <c r="B100" s="59"/>
      <c r="C100" s="59"/>
      <c r="D100" s="60"/>
      <c r="E100" s="59"/>
      <c r="F100" s="59"/>
      <c r="G100" s="59"/>
      <c r="H100" s="59"/>
      <c r="I100" s="59"/>
    </row>
    <row r="101" spans="1:9">
      <c r="A101" s="59"/>
      <c r="B101" s="59"/>
      <c r="C101" s="59"/>
      <c r="D101" s="60"/>
      <c r="E101" s="59"/>
      <c r="F101" s="59"/>
      <c r="G101" s="59"/>
      <c r="H101" s="59"/>
      <c r="I101" s="59"/>
    </row>
    <row r="102" spans="1:9">
      <c r="A102" s="59"/>
      <c r="B102" s="59"/>
      <c r="C102" s="59"/>
      <c r="D102" s="60"/>
      <c r="E102" s="59"/>
      <c r="F102" s="59"/>
      <c r="G102" s="59"/>
      <c r="H102" s="59"/>
      <c r="I102" s="59"/>
    </row>
    <row r="103" spans="1:9">
      <c r="A103" s="59"/>
      <c r="B103" s="59"/>
      <c r="C103" s="59"/>
      <c r="D103" s="60"/>
      <c r="E103" s="59"/>
      <c r="F103" s="59"/>
      <c r="G103" s="59"/>
      <c r="H103" s="59"/>
      <c r="I103" s="59"/>
    </row>
    <row r="104" spans="1:9">
      <c r="A104" s="59"/>
      <c r="B104" s="59"/>
      <c r="C104" s="59"/>
      <c r="D104" s="60"/>
      <c r="E104" s="59"/>
      <c r="F104" s="59"/>
      <c r="G104" s="59"/>
      <c r="H104" s="59"/>
      <c r="I104" s="59"/>
    </row>
    <row r="105" spans="1:9">
      <c r="A105" s="59"/>
      <c r="B105" s="59"/>
      <c r="C105" s="59"/>
      <c r="D105" s="60"/>
      <c r="E105" s="59"/>
      <c r="F105" s="59"/>
      <c r="G105" s="59"/>
      <c r="H105" s="59"/>
      <c r="I105" s="59"/>
    </row>
    <row r="106" spans="1:9">
      <c r="A106" s="59"/>
      <c r="B106" s="59"/>
      <c r="C106" s="59"/>
      <c r="D106" s="60"/>
      <c r="E106" s="59"/>
      <c r="F106" s="59"/>
      <c r="G106" s="59"/>
      <c r="H106" s="59"/>
      <c r="I106" s="59"/>
    </row>
    <row r="107" spans="1:9">
      <c r="A107" s="59"/>
      <c r="B107" s="59"/>
      <c r="C107" s="59"/>
      <c r="D107" s="60"/>
      <c r="E107" s="59"/>
      <c r="F107" s="59"/>
      <c r="G107" s="59"/>
      <c r="H107" s="59"/>
      <c r="I107" s="59"/>
    </row>
    <row r="108" spans="1:9">
      <c r="A108" s="59"/>
      <c r="B108" s="59"/>
      <c r="C108" s="59"/>
      <c r="D108" s="60"/>
      <c r="E108" s="59"/>
      <c r="F108" s="59"/>
      <c r="G108" s="59"/>
      <c r="H108" s="59"/>
      <c r="I108" s="59"/>
    </row>
    <row r="109" spans="1:9">
      <c r="A109" s="59"/>
      <c r="B109" s="59"/>
      <c r="C109" s="59"/>
      <c r="D109" s="60"/>
      <c r="E109" s="59"/>
      <c r="F109" s="59"/>
      <c r="G109" s="59"/>
      <c r="H109" s="59"/>
      <c r="I109" s="59"/>
    </row>
    <row r="110" spans="1:9">
      <c r="A110" s="59"/>
      <c r="B110" s="59"/>
      <c r="C110" s="59"/>
      <c r="D110" s="60"/>
      <c r="E110" s="59"/>
      <c r="F110" s="59"/>
      <c r="G110" s="59"/>
      <c r="H110" s="59"/>
      <c r="I110" s="59"/>
    </row>
    <row r="111" spans="1:9">
      <c r="A111" s="59"/>
      <c r="B111" s="59"/>
      <c r="C111" s="59"/>
      <c r="D111" s="60"/>
      <c r="E111" s="59"/>
      <c r="F111" s="59"/>
      <c r="G111" s="59"/>
      <c r="H111" s="59"/>
      <c r="I111" s="59"/>
    </row>
  </sheetData>
  <mergeCells count="20">
    <mergeCell ref="A41:J41"/>
    <mergeCell ref="A39:H39"/>
    <mergeCell ref="A42:I42"/>
    <mergeCell ref="A43:H43"/>
    <mergeCell ref="A38:J38"/>
    <mergeCell ref="A27:J27"/>
    <mergeCell ref="A31:H31"/>
    <mergeCell ref="A28:H28"/>
    <mergeCell ref="A30:J30"/>
    <mergeCell ref="A18:H18"/>
    <mergeCell ref="A24:H24"/>
    <mergeCell ref="A11:J12"/>
    <mergeCell ref="A14:H14"/>
    <mergeCell ref="A23:J23"/>
    <mergeCell ref="A17:J17"/>
    <mergeCell ref="A1:J1"/>
    <mergeCell ref="A2:J2"/>
    <mergeCell ref="A3:B3"/>
    <mergeCell ref="H9:J9"/>
    <mergeCell ref="H10:J10"/>
  </mergeCells>
  <phoneticPr fontId="57" type="noConversion"/>
  <conditionalFormatting sqref="C3 E3:I3 A3:A4 D3:D4 B6:C6 E6:I6 A6:A7 D6:D7 D8:I8 B8:C9 H9 A9:A11">
    <cfRule type="cellIs" dxfId="12" priority="4" stopIfTrue="1" operator="equal">
      <formula>0</formula>
    </cfRule>
  </conditionalFormatting>
  <conditionalFormatting sqref="D9:G10">
    <cfRule type="cellIs" dxfId="11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8" fitToHeight="0" orientation="landscape" horizontalDpi="360" verticalDpi="36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0"/>
  <sheetViews>
    <sheetView view="pageBreakPreview" topLeftCell="A97" zoomScale="85" zoomScaleNormal="85" zoomScaleSheetLayoutView="85" workbookViewId="0">
      <selection activeCell="A112" sqref="A112:I112"/>
    </sheetView>
  </sheetViews>
  <sheetFormatPr defaultRowHeight="13.2"/>
  <cols>
    <col min="1" max="1" width="8.33203125" bestFit="1" customWidth="1"/>
    <col min="2" max="2" width="58.44140625" customWidth="1"/>
    <col min="3" max="3" width="10.33203125" customWidth="1"/>
    <col min="4" max="4" width="15.88671875" bestFit="1" customWidth="1"/>
    <col min="5" max="5" width="10" customWidth="1"/>
    <col min="6" max="6" width="13.5546875" customWidth="1"/>
    <col min="7" max="8" width="13.44140625" customWidth="1"/>
    <col min="9" max="9" width="16.109375" bestFit="1" customWidth="1"/>
    <col min="11" max="11" width="13.44140625" bestFit="1" customWidth="1"/>
    <col min="12" max="12" width="11.33203125" customWidth="1"/>
    <col min="15" max="15" width="8" bestFit="1" customWidth="1"/>
    <col min="16" max="16" width="9.5546875" bestFit="1" customWidth="1"/>
    <col min="17" max="17" width="10.5546875" bestFit="1" customWidth="1"/>
  </cols>
  <sheetData>
    <row r="1" spans="1:12" ht="24.75" customHeight="1">
      <c r="A1" s="163" t="s">
        <v>58</v>
      </c>
      <c r="B1" s="164"/>
      <c r="C1" s="164"/>
      <c r="D1" s="164"/>
      <c r="E1" s="164"/>
      <c r="F1" s="164"/>
      <c r="G1" s="164"/>
      <c r="H1" s="164"/>
      <c r="I1" s="164"/>
      <c r="J1" s="61"/>
      <c r="K1" s="61"/>
    </row>
    <row r="2" spans="1:12" ht="15" customHeight="1">
      <c r="A2" s="165" t="s">
        <v>95</v>
      </c>
      <c r="B2" s="166"/>
      <c r="C2" s="166"/>
      <c r="D2" s="166"/>
      <c r="E2" s="166"/>
      <c r="F2" s="166"/>
      <c r="G2" s="166"/>
      <c r="H2" s="166"/>
      <c r="I2" s="166"/>
      <c r="J2" s="62"/>
      <c r="K2" s="62"/>
    </row>
    <row r="3" spans="1:12" ht="15" customHeight="1">
      <c r="A3" s="167" t="s">
        <v>59</v>
      </c>
      <c r="B3" s="168"/>
      <c r="C3" s="35" t="s">
        <v>60</v>
      </c>
      <c r="D3" s="34"/>
      <c r="E3" s="34"/>
      <c r="F3" s="34"/>
      <c r="G3" s="36"/>
      <c r="H3" s="36"/>
      <c r="I3" s="33"/>
    </row>
    <row r="4" spans="1:12" ht="15" customHeight="1">
      <c r="A4" s="37"/>
      <c r="B4" s="38"/>
      <c r="C4" s="183" t="s">
        <v>105</v>
      </c>
      <c r="D4" s="184"/>
      <c r="E4" s="184"/>
      <c r="F4" s="184"/>
      <c r="G4" s="184"/>
      <c r="H4" s="40"/>
      <c r="I4" s="41"/>
    </row>
    <row r="5" spans="1:12" ht="15" customHeight="1">
      <c r="A5" s="42"/>
      <c r="C5" s="44"/>
      <c r="D5" s="44"/>
      <c r="E5" s="44"/>
      <c r="I5" s="45"/>
    </row>
    <row r="6" spans="1:12">
      <c r="A6" s="46" t="s">
        <v>61</v>
      </c>
      <c r="B6" s="34"/>
      <c r="C6" s="47" t="s">
        <v>62</v>
      </c>
      <c r="D6" s="34"/>
      <c r="E6" s="34"/>
      <c r="F6" s="34"/>
      <c r="G6" s="34"/>
      <c r="H6" s="34"/>
      <c r="I6" s="33"/>
    </row>
    <row r="7" spans="1:12" ht="14.4">
      <c r="A7" s="37" t="s">
        <v>106</v>
      </c>
      <c r="B7" s="48"/>
      <c r="C7" s="39" t="s">
        <v>58</v>
      </c>
      <c r="D7" s="40"/>
      <c r="E7" s="40"/>
      <c r="F7" s="40"/>
      <c r="G7" s="40"/>
      <c r="H7" s="40"/>
      <c r="I7" s="41"/>
      <c r="L7" s="63"/>
    </row>
    <row r="8" spans="1:12">
      <c r="A8" s="42"/>
      <c r="B8" s="34"/>
      <c r="C8" s="34"/>
      <c r="D8" s="34"/>
      <c r="E8" s="34"/>
      <c r="F8" s="34"/>
      <c r="G8" s="34"/>
      <c r="H8" s="34"/>
      <c r="I8" s="45"/>
    </row>
    <row r="9" spans="1:12">
      <c r="A9" s="46" t="s">
        <v>84</v>
      </c>
      <c r="B9" s="34"/>
      <c r="C9" s="177" t="s">
        <v>63</v>
      </c>
      <c r="D9" s="168"/>
      <c r="E9" s="168"/>
      <c r="F9" s="168"/>
      <c r="G9" s="168"/>
      <c r="H9" s="168"/>
      <c r="I9" s="178"/>
    </row>
    <row r="10" spans="1:12" ht="25.5" customHeight="1">
      <c r="A10" s="51"/>
      <c r="B10" s="40"/>
      <c r="C10" s="179" t="s">
        <v>96</v>
      </c>
      <c r="D10" s="180"/>
      <c r="E10" s="180"/>
      <c r="F10" s="180"/>
      <c r="G10" s="180"/>
      <c r="H10" s="180"/>
      <c r="I10" s="181"/>
    </row>
    <row r="11" spans="1:12">
      <c r="A11" s="185" t="s">
        <v>76</v>
      </c>
      <c r="B11" s="185"/>
      <c r="C11" s="185"/>
      <c r="D11" s="185"/>
      <c r="E11" s="185"/>
      <c r="F11" s="185"/>
      <c r="G11" s="185"/>
      <c r="H11" s="185"/>
      <c r="I11" s="185"/>
    </row>
    <row r="12" spans="1:12" ht="15" customHeight="1">
      <c r="A12" s="186"/>
      <c r="B12" s="186"/>
      <c r="C12" s="186"/>
      <c r="D12" s="186"/>
      <c r="E12" s="186"/>
      <c r="F12" s="186"/>
      <c r="G12" s="186"/>
      <c r="H12" s="186"/>
      <c r="I12" s="186"/>
    </row>
    <row r="13" spans="1:12" ht="33.6" customHeight="1">
      <c r="A13" s="52" t="s">
        <v>0</v>
      </c>
      <c r="B13" s="52" t="s">
        <v>69</v>
      </c>
      <c r="C13" s="53" t="s">
        <v>70</v>
      </c>
      <c r="D13" s="53" t="s">
        <v>77</v>
      </c>
      <c r="E13" s="53" t="s">
        <v>78</v>
      </c>
      <c r="F13" s="53" t="s">
        <v>79</v>
      </c>
      <c r="G13" s="64" t="s">
        <v>97</v>
      </c>
      <c r="H13" s="64" t="s">
        <v>128</v>
      </c>
      <c r="I13" s="64" t="s">
        <v>80</v>
      </c>
    </row>
    <row r="14" spans="1:12">
      <c r="A14" s="182" t="s">
        <v>172</v>
      </c>
      <c r="B14" s="182"/>
      <c r="C14" s="182"/>
      <c r="D14" s="182"/>
      <c r="E14" s="182"/>
      <c r="F14" s="182"/>
      <c r="G14" s="182"/>
      <c r="H14" s="182"/>
      <c r="I14" s="182"/>
    </row>
    <row r="15" spans="1:12" ht="39.6">
      <c r="A15" s="5" t="s">
        <v>3</v>
      </c>
      <c r="B15" s="2" t="s">
        <v>149</v>
      </c>
      <c r="C15" s="1" t="s">
        <v>2</v>
      </c>
      <c r="D15" s="54">
        <v>3</v>
      </c>
      <c r="E15" s="54"/>
      <c r="F15" s="54">
        <v>2</v>
      </c>
      <c r="G15" s="54"/>
      <c r="H15" s="54"/>
      <c r="I15" s="149">
        <f t="shared" ref="I15" si="0">TRUNC(PRODUCT(D15:G15),2)-H15</f>
        <v>6</v>
      </c>
      <c r="L15" s="65"/>
    </row>
    <row r="16" spans="1:12">
      <c r="A16" s="5" t="s">
        <v>4</v>
      </c>
      <c r="B16" s="2" t="s">
        <v>111</v>
      </c>
      <c r="C16" s="1" t="s">
        <v>2</v>
      </c>
      <c r="D16" s="54">
        <v>99.37</v>
      </c>
      <c r="E16" s="54">
        <v>8</v>
      </c>
      <c r="F16" s="54"/>
      <c r="G16" s="54"/>
      <c r="H16" s="54"/>
      <c r="I16" s="149">
        <f>TRUNC(PRODUCT(D16:G16),2)-H16</f>
        <v>794.96</v>
      </c>
      <c r="L16" s="65"/>
    </row>
    <row r="17" spans="1:13" ht="13.8">
      <c r="A17" s="187"/>
      <c r="B17" s="187"/>
      <c r="C17" s="187"/>
      <c r="D17" s="187"/>
      <c r="E17" s="187"/>
      <c r="F17" s="187"/>
      <c r="G17" s="187"/>
      <c r="H17" s="187"/>
      <c r="I17" s="187"/>
      <c r="K17" s="60"/>
    </row>
    <row r="18" spans="1:13">
      <c r="A18" s="182" t="s">
        <v>173</v>
      </c>
      <c r="B18" s="182"/>
      <c r="C18" s="182"/>
      <c r="D18" s="182"/>
      <c r="E18" s="182"/>
      <c r="F18" s="182"/>
      <c r="G18" s="182"/>
      <c r="H18" s="182"/>
      <c r="I18" s="182"/>
    </row>
    <row r="19" spans="1:13" ht="66">
      <c r="A19" s="144" t="s">
        <v>5</v>
      </c>
      <c r="B19" s="145" t="s">
        <v>113</v>
      </c>
      <c r="C19" s="146" t="s">
        <v>12</v>
      </c>
      <c r="D19" s="147"/>
      <c r="E19" s="147"/>
      <c r="F19" s="147"/>
      <c r="G19" s="147"/>
      <c r="H19" s="147"/>
      <c r="I19" s="148">
        <f>SUM(I20:I21)</f>
        <v>1723.52</v>
      </c>
      <c r="L19" s="65"/>
    </row>
    <row r="20" spans="1:13">
      <c r="A20" s="131"/>
      <c r="B20" s="2"/>
      <c r="C20" s="1"/>
      <c r="D20" s="54"/>
      <c r="E20" s="54"/>
      <c r="F20" s="54"/>
      <c r="G20" s="54"/>
      <c r="H20" s="136"/>
      <c r="I20" s="54"/>
      <c r="L20" s="65"/>
    </row>
    <row r="21" spans="1:13">
      <c r="A21" s="131"/>
      <c r="B21" s="143" t="s">
        <v>129</v>
      </c>
      <c r="C21" s="1"/>
      <c r="D21" s="54"/>
      <c r="E21" s="54">
        <v>8</v>
      </c>
      <c r="F21" s="54"/>
      <c r="G21" s="54">
        <v>215.44</v>
      </c>
      <c r="H21" s="136"/>
      <c r="I21" s="54">
        <f t="shared" ref="I21" si="1">TRUNC(PRODUCT(D21:G21),2)-H21</f>
        <v>1723.52</v>
      </c>
      <c r="L21" s="65"/>
    </row>
    <row r="22" spans="1:13">
      <c r="A22" s="131"/>
      <c r="B22" s="143"/>
      <c r="C22" s="1"/>
      <c r="D22" s="54"/>
      <c r="E22" s="54"/>
      <c r="F22" s="54"/>
      <c r="G22" s="54"/>
      <c r="H22" s="136"/>
      <c r="I22" s="54"/>
      <c r="L22" s="65"/>
    </row>
    <row r="23" spans="1:13" ht="39.6">
      <c r="A23" s="144" t="s">
        <v>6</v>
      </c>
      <c r="B23" s="145" t="s">
        <v>114</v>
      </c>
      <c r="C23" s="146" t="s">
        <v>12</v>
      </c>
      <c r="D23" s="147"/>
      <c r="E23" s="147"/>
      <c r="F23" s="147"/>
      <c r="G23" s="147"/>
      <c r="H23" s="147"/>
      <c r="I23" s="148">
        <f>SUM(I24:I29)</f>
        <v>1704.1804000000002</v>
      </c>
      <c r="L23" s="65"/>
    </row>
    <row r="24" spans="1:13">
      <c r="A24" s="131"/>
      <c r="B24" s="2"/>
      <c r="C24" s="1"/>
      <c r="D24" s="54"/>
      <c r="E24" s="54"/>
      <c r="F24" s="54"/>
      <c r="G24" s="54"/>
      <c r="H24" s="136"/>
      <c r="I24" s="54"/>
      <c r="K24">
        <f>9.8*(1.29*1.29)*53.54</f>
        <v>873.13995720000014</v>
      </c>
      <c r="L24" s="65"/>
      <c r="M24">
        <f>(158.75*2400)+(86.1*1800)+((53.54*7*0.15)*2400)</f>
        <v>670900.80000000005</v>
      </c>
    </row>
    <row r="25" spans="1:13">
      <c r="A25" s="131"/>
      <c r="B25" s="143" t="s">
        <v>160</v>
      </c>
      <c r="C25" s="1"/>
      <c r="D25" s="54">
        <v>56.03</v>
      </c>
      <c r="E25" s="54">
        <v>5.5</v>
      </c>
      <c r="F25" s="54">
        <v>3.4</v>
      </c>
      <c r="G25" s="54"/>
      <c r="H25" s="54">
        <f>3.14*(0.6^2)*37*2</f>
        <v>83.649600000000007</v>
      </c>
      <c r="I25" s="54">
        <f t="shared" ref="I25:I29" si="2">TRUNC(PRODUCT(D25:G25),2)-H25</f>
        <v>964.11040000000003</v>
      </c>
      <c r="L25" s="65"/>
    </row>
    <row r="26" spans="1:13">
      <c r="A26" s="131"/>
      <c r="B26" s="143" t="s">
        <v>161</v>
      </c>
      <c r="C26" s="1"/>
      <c r="D26" s="54"/>
      <c r="E26" s="54">
        <v>5.5</v>
      </c>
      <c r="F26" s="54"/>
      <c r="G26" s="54">
        <v>21.55</v>
      </c>
      <c r="H26" s="136"/>
      <c r="I26" s="54">
        <f t="shared" si="2"/>
        <v>118.52</v>
      </c>
      <c r="L26" s="65"/>
    </row>
    <row r="27" spans="1:13">
      <c r="A27" s="131"/>
      <c r="B27" s="143" t="s">
        <v>162</v>
      </c>
      <c r="C27" s="1"/>
      <c r="D27" s="54">
        <v>10</v>
      </c>
      <c r="E27" s="54">
        <v>5.5</v>
      </c>
      <c r="F27" s="54">
        <v>4.5999999999999996</v>
      </c>
      <c r="G27" s="54"/>
      <c r="H27" s="136"/>
      <c r="I27" s="54">
        <f t="shared" si="2"/>
        <v>253</v>
      </c>
      <c r="L27" s="65"/>
    </row>
    <row r="28" spans="1:13">
      <c r="A28" s="131"/>
      <c r="B28" s="143" t="s">
        <v>163</v>
      </c>
      <c r="C28" s="1"/>
      <c r="D28" s="54"/>
      <c r="E28" s="54">
        <v>5.5</v>
      </c>
      <c r="F28" s="54"/>
      <c r="G28" s="54">
        <v>7.21</v>
      </c>
      <c r="H28" s="136"/>
      <c r="I28" s="54">
        <f t="shared" si="2"/>
        <v>39.65</v>
      </c>
      <c r="L28" s="65"/>
    </row>
    <row r="29" spans="1:13">
      <c r="A29" s="131"/>
      <c r="B29" s="143" t="s">
        <v>164</v>
      </c>
      <c r="C29" s="1"/>
      <c r="D29" s="54">
        <v>13</v>
      </c>
      <c r="E29" s="54">
        <v>5.5</v>
      </c>
      <c r="F29" s="54">
        <v>4.5999999999999996</v>
      </c>
      <c r="G29" s="54"/>
      <c r="H29" s="136"/>
      <c r="I29" s="54">
        <f t="shared" si="2"/>
        <v>328.9</v>
      </c>
      <c r="L29" s="65"/>
    </row>
    <row r="30" spans="1:13">
      <c r="A30" s="131"/>
      <c r="B30" s="143"/>
      <c r="C30" s="1"/>
      <c r="D30" s="54"/>
      <c r="E30" s="54"/>
      <c r="F30" s="54"/>
      <c r="G30" s="54"/>
      <c r="H30" s="136"/>
      <c r="I30" s="54"/>
      <c r="L30" s="65"/>
    </row>
    <row r="31" spans="1:13" ht="13.8">
      <c r="A31" s="160"/>
      <c r="B31" s="161"/>
      <c r="C31" s="161"/>
      <c r="D31" s="161"/>
      <c r="E31" s="161"/>
      <c r="F31" s="161"/>
      <c r="G31" s="161"/>
      <c r="H31" s="161"/>
      <c r="I31" s="162"/>
    </row>
    <row r="32" spans="1:13" ht="26.4">
      <c r="A32" s="144" t="s">
        <v>174</v>
      </c>
      <c r="B32" s="145" t="s">
        <v>154</v>
      </c>
      <c r="C32" s="146" t="s">
        <v>12</v>
      </c>
      <c r="D32" s="147"/>
      <c r="E32" s="147"/>
      <c r="F32" s="147"/>
      <c r="G32" s="147"/>
      <c r="H32" s="147"/>
      <c r="I32" s="148">
        <f>SUM(I33:I38)</f>
        <v>1972.3504</v>
      </c>
      <c r="L32" s="65"/>
    </row>
    <row r="33" spans="1:13">
      <c r="A33" s="131"/>
      <c r="B33" s="2"/>
      <c r="C33" s="1"/>
      <c r="D33" s="54"/>
      <c r="E33" s="54"/>
      <c r="F33" s="54"/>
      <c r="G33" s="54"/>
      <c r="H33" s="136"/>
      <c r="I33" s="54"/>
      <c r="K33">
        <f>9.8*(1.29*1.29)*53.54</f>
        <v>873.13995720000014</v>
      </c>
      <c r="L33" s="65"/>
      <c r="M33">
        <f>(158.75*2400)+(86.1*1800)+((53.54*7*0.15)*2400)</f>
        <v>670900.80000000005</v>
      </c>
    </row>
    <row r="34" spans="1:13">
      <c r="A34" s="131"/>
      <c r="B34" s="143" t="s">
        <v>160</v>
      </c>
      <c r="C34" s="1"/>
      <c r="D34" s="54">
        <v>56.03</v>
      </c>
      <c r="E34" s="54">
        <v>5.5</v>
      </c>
      <c r="F34" s="54">
        <v>3.4</v>
      </c>
      <c r="G34" s="54">
        <v>1.1499999999999999</v>
      </c>
      <c r="H34" s="54">
        <f>3.14*(0.6^2)*37*2</f>
        <v>83.649600000000007</v>
      </c>
      <c r="I34" s="54">
        <f t="shared" ref="I34:I38" si="3">TRUNC(PRODUCT(D34:G34),2)-H34</f>
        <v>1121.2704000000001</v>
      </c>
      <c r="K34">
        <f>K33*(1.29/3)</f>
        <v>375.45018159600005</v>
      </c>
      <c r="L34" s="65"/>
      <c r="M34">
        <f>M33/10</f>
        <v>67090.080000000002</v>
      </c>
    </row>
    <row r="35" spans="1:13">
      <c r="A35" s="131"/>
      <c r="B35" s="143" t="s">
        <v>161</v>
      </c>
      <c r="C35" s="1"/>
      <c r="D35" s="54"/>
      <c r="E35" s="54">
        <v>5.5</v>
      </c>
      <c r="F35" s="54"/>
      <c r="G35" s="54">
        <f>21.55*1.15</f>
        <v>24.782499999999999</v>
      </c>
      <c r="H35" s="136"/>
      <c r="I35" s="54">
        <f t="shared" si="3"/>
        <v>136.30000000000001</v>
      </c>
      <c r="L35" s="65"/>
    </row>
    <row r="36" spans="1:13">
      <c r="A36" s="131"/>
      <c r="B36" s="143" t="s">
        <v>162</v>
      </c>
      <c r="C36" s="1"/>
      <c r="D36" s="54">
        <v>10</v>
      </c>
      <c r="E36" s="54">
        <v>5.5</v>
      </c>
      <c r="F36" s="54">
        <v>4.5999999999999996</v>
      </c>
      <c r="G36" s="54">
        <v>1.1499999999999999</v>
      </c>
      <c r="H36" s="136"/>
      <c r="I36" s="54">
        <f t="shared" si="3"/>
        <v>290.95</v>
      </c>
      <c r="L36" s="65"/>
    </row>
    <row r="37" spans="1:13">
      <c r="A37" s="131"/>
      <c r="B37" s="143" t="s">
        <v>163</v>
      </c>
      <c r="C37" s="1"/>
      <c r="D37" s="54"/>
      <c r="E37" s="54">
        <v>5.5</v>
      </c>
      <c r="F37" s="54"/>
      <c r="G37" s="54">
        <f>7.21*1.15</f>
        <v>8.2914999999999992</v>
      </c>
      <c r="H37" s="136"/>
      <c r="I37" s="54">
        <f t="shared" si="3"/>
        <v>45.6</v>
      </c>
      <c r="L37" s="65"/>
    </row>
    <row r="38" spans="1:13">
      <c r="A38" s="131"/>
      <c r="B38" s="143" t="s">
        <v>164</v>
      </c>
      <c r="C38" s="1"/>
      <c r="D38" s="54">
        <v>13</v>
      </c>
      <c r="E38" s="54">
        <v>5.5</v>
      </c>
      <c r="F38" s="54">
        <v>4.5999999999999996</v>
      </c>
      <c r="G38" s="54">
        <v>1.1499999999999999</v>
      </c>
      <c r="H38" s="136"/>
      <c r="I38" s="54">
        <f t="shared" si="3"/>
        <v>378.23</v>
      </c>
      <c r="L38" s="65"/>
    </row>
    <row r="39" spans="1:13" ht="13.8">
      <c r="A39" s="160"/>
      <c r="B39" s="161"/>
      <c r="C39" s="161"/>
      <c r="D39" s="161"/>
      <c r="E39" s="161"/>
      <c r="F39" s="161"/>
      <c r="G39" s="161"/>
      <c r="H39" s="161"/>
      <c r="I39" s="162"/>
    </row>
    <row r="40" spans="1:13" ht="26.4">
      <c r="A40" s="144" t="s">
        <v>175</v>
      </c>
      <c r="B40" s="145" t="s">
        <v>155</v>
      </c>
      <c r="C40" s="146" t="s">
        <v>153</v>
      </c>
      <c r="D40" s="147"/>
      <c r="E40" s="147"/>
      <c r="F40" s="147"/>
      <c r="G40" s="147"/>
      <c r="H40" s="147"/>
      <c r="I40" s="148">
        <f>SUM(I41:I46)</f>
        <v>16364.4804</v>
      </c>
      <c r="L40" s="65"/>
    </row>
    <row r="41" spans="1:13">
      <c r="A41" s="131"/>
      <c r="B41" s="2"/>
      <c r="C41" s="1"/>
      <c r="D41" s="54"/>
      <c r="E41" s="54"/>
      <c r="F41" s="54"/>
      <c r="G41" s="54"/>
      <c r="H41" s="136"/>
      <c r="I41" s="54"/>
      <c r="K41">
        <f>9.8*(1.29*1.29)*53.54</f>
        <v>873.13995720000014</v>
      </c>
      <c r="L41" s="65"/>
      <c r="M41">
        <f>(158.75*2400)+(86.1*1800)+((53.54*7*0.15)*2400)</f>
        <v>670900.80000000005</v>
      </c>
    </row>
    <row r="42" spans="1:13">
      <c r="A42" s="131"/>
      <c r="B42" s="143" t="s">
        <v>160</v>
      </c>
      <c r="C42" s="1"/>
      <c r="D42" s="54">
        <v>56.03</v>
      </c>
      <c r="E42" s="54">
        <v>5.5</v>
      </c>
      <c r="F42" s="54">
        <v>3.4</v>
      </c>
      <c r="G42" s="54">
        <f>1.15*8</f>
        <v>9.1999999999999993</v>
      </c>
      <c r="H42" s="54">
        <f>3.14*(0.6^2)*37*2</f>
        <v>83.649600000000007</v>
      </c>
      <c r="I42" s="54">
        <f t="shared" ref="I42:I46" si="4">TRUNC(PRODUCT(D42:G42),2)-H42</f>
        <v>9555.750399999999</v>
      </c>
      <c r="K42">
        <f>K41*(1.29/3)</f>
        <v>375.45018159600005</v>
      </c>
      <c r="L42" s="65"/>
      <c r="M42">
        <f>M41/10</f>
        <v>67090.080000000002</v>
      </c>
    </row>
    <row r="43" spans="1:13">
      <c r="A43" s="131"/>
      <c r="B43" s="143" t="s">
        <v>161</v>
      </c>
      <c r="C43" s="1"/>
      <c r="D43" s="54"/>
      <c r="E43" s="54">
        <v>5.5</v>
      </c>
      <c r="F43" s="54"/>
      <c r="G43" s="54">
        <f>21.55*1.15*8</f>
        <v>198.26</v>
      </c>
      <c r="H43" s="136"/>
      <c r="I43" s="54">
        <f t="shared" si="4"/>
        <v>1090.43</v>
      </c>
      <c r="L43" s="65"/>
    </row>
    <row r="44" spans="1:13">
      <c r="A44" s="131"/>
      <c r="B44" s="143" t="s">
        <v>162</v>
      </c>
      <c r="C44" s="1"/>
      <c r="D44" s="54">
        <v>10</v>
      </c>
      <c r="E44" s="54">
        <v>5.5</v>
      </c>
      <c r="F44" s="54">
        <v>4.5999999999999996</v>
      </c>
      <c r="G44" s="54">
        <f>1.15*8</f>
        <v>9.1999999999999993</v>
      </c>
      <c r="H44" s="136"/>
      <c r="I44" s="54">
        <f t="shared" si="4"/>
        <v>2327.6</v>
      </c>
      <c r="L44" s="65"/>
    </row>
    <row r="45" spans="1:13">
      <c r="A45" s="131"/>
      <c r="B45" s="143" t="s">
        <v>163</v>
      </c>
      <c r="C45" s="1"/>
      <c r="D45" s="54"/>
      <c r="E45" s="54">
        <v>5.5</v>
      </c>
      <c r="F45" s="54"/>
      <c r="G45" s="54">
        <f>7.21*1.15*8</f>
        <v>66.331999999999994</v>
      </c>
      <c r="H45" s="136"/>
      <c r="I45" s="54">
        <f t="shared" si="4"/>
        <v>364.82</v>
      </c>
      <c r="L45" s="65"/>
    </row>
    <row r="46" spans="1:13">
      <c r="A46" s="131"/>
      <c r="B46" s="143" t="s">
        <v>164</v>
      </c>
      <c r="C46" s="1"/>
      <c r="D46" s="54">
        <v>13</v>
      </c>
      <c r="E46" s="54">
        <v>5.5</v>
      </c>
      <c r="F46" s="54">
        <v>4.5999999999999996</v>
      </c>
      <c r="G46" s="54">
        <f>1.15*8</f>
        <v>9.1999999999999993</v>
      </c>
      <c r="H46" s="136"/>
      <c r="I46" s="54">
        <f t="shared" si="4"/>
        <v>3025.88</v>
      </c>
      <c r="L46" s="65"/>
    </row>
    <row r="47" spans="1:13" ht="13.8">
      <c r="A47" s="160"/>
      <c r="B47" s="161"/>
      <c r="C47" s="161"/>
      <c r="D47" s="161"/>
      <c r="E47" s="161"/>
      <c r="F47" s="161"/>
      <c r="G47" s="161"/>
      <c r="H47" s="161"/>
      <c r="I47" s="162"/>
    </row>
    <row r="48" spans="1:13">
      <c r="A48" s="182" t="s">
        <v>176</v>
      </c>
      <c r="B48" s="182"/>
      <c r="C48" s="182"/>
      <c r="D48" s="182"/>
      <c r="E48" s="182"/>
      <c r="F48" s="182"/>
      <c r="G48" s="182"/>
      <c r="H48" s="182"/>
      <c r="I48" s="182"/>
    </row>
    <row r="49" spans="1:12" ht="26.4">
      <c r="A49" s="144" t="s">
        <v>7</v>
      </c>
      <c r="B49" s="145" t="s">
        <v>115</v>
      </c>
      <c r="C49" s="146" t="s">
        <v>12</v>
      </c>
      <c r="D49" s="147"/>
      <c r="E49" s="147"/>
      <c r="F49" s="147"/>
      <c r="G49" s="147"/>
      <c r="H49" s="147"/>
      <c r="I49" s="148">
        <f>SUM(I50:I71)</f>
        <v>1303.0607999999997</v>
      </c>
      <c r="L49" s="65"/>
    </row>
    <row r="50" spans="1:12" ht="15.6" customHeight="1">
      <c r="A50" s="131"/>
      <c r="B50" s="2"/>
      <c r="C50" s="1"/>
      <c r="D50" s="54"/>
      <c r="E50" s="54"/>
      <c r="F50" s="54"/>
      <c r="G50" s="54"/>
      <c r="H50" s="136"/>
      <c r="I50" s="54"/>
      <c r="L50" s="65"/>
    </row>
    <row r="51" spans="1:12">
      <c r="A51" s="131"/>
      <c r="B51" s="143" t="s">
        <v>159</v>
      </c>
      <c r="C51" s="1"/>
      <c r="D51" s="54"/>
      <c r="E51" s="54"/>
      <c r="F51" s="54"/>
      <c r="G51" s="54"/>
      <c r="H51" s="136"/>
      <c r="I51" s="54"/>
      <c r="L51" s="65"/>
    </row>
    <row r="52" spans="1:12">
      <c r="A52" s="131"/>
      <c r="B52" s="143"/>
      <c r="C52" s="1"/>
      <c r="D52" s="54"/>
      <c r="E52" s="54"/>
      <c r="F52" s="54"/>
      <c r="G52" s="54"/>
      <c r="H52" s="136"/>
      <c r="I52" s="54">
        <f t="shared" ref="I52:I56" si="5">TRUNC(PRODUCT(D52:G52),2)-H52</f>
        <v>0</v>
      </c>
      <c r="L52" s="65"/>
    </row>
    <row r="53" spans="1:12">
      <c r="A53" s="131"/>
      <c r="B53" s="143" t="s">
        <v>160</v>
      </c>
      <c r="C53" s="1"/>
      <c r="D53" s="54">
        <v>56.03</v>
      </c>
      <c r="E53" s="54"/>
      <c r="F53" s="54"/>
      <c r="G53" s="54">
        <v>8.4700000000000006</v>
      </c>
      <c r="H53" s="54">
        <f>3.14*(0.6^2)*37*2</f>
        <v>83.649600000000007</v>
      </c>
      <c r="I53" s="54">
        <f t="shared" si="5"/>
        <v>390.92039999999997</v>
      </c>
      <c r="L53" s="65"/>
    </row>
    <row r="54" spans="1:12">
      <c r="A54" s="131"/>
      <c r="B54" s="143" t="s">
        <v>161</v>
      </c>
      <c r="C54" s="1"/>
      <c r="D54" s="54">
        <v>1</v>
      </c>
      <c r="E54" s="54"/>
      <c r="F54" s="54"/>
      <c r="G54" s="54">
        <v>21.55</v>
      </c>
      <c r="H54" s="136"/>
      <c r="I54" s="54">
        <f t="shared" si="5"/>
        <v>21.55</v>
      </c>
      <c r="L54" s="65"/>
    </row>
    <row r="55" spans="1:12">
      <c r="A55" s="131"/>
      <c r="B55" s="143" t="s">
        <v>162</v>
      </c>
      <c r="C55" s="1"/>
      <c r="D55" s="54">
        <v>10</v>
      </c>
      <c r="E55" s="54">
        <v>1</v>
      </c>
      <c r="F55" s="54">
        <v>4.5999999999999996</v>
      </c>
      <c r="G55" s="54"/>
      <c r="H55" s="136"/>
      <c r="I55" s="54">
        <f t="shared" si="5"/>
        <v>46</v>
      </c>
      <c r="L55" s="65"/>
    </row>
    <row r="56" spans="1:12">
      <c r="A56" s="131"/>
      <c r="B56" s="143" t="s">
        <v>163</v>
      </c>
      <c r="C56" s="1"/>
      <c r="D56" s="54">
        <v>1</v>
      </c>
      <c r="E56" s="54"/>
      <c r="F56" s="54"/>
      <c r="G56" s="54">
        <v>7.21</v>
      </c>
      <c r="H56" s="136"/>
      <c r="I56" s="54">
        <f t="shared" si="5"/>
        <v>7.21</v>
      </c>
      <c r="L56" s="65"/>
    </row>
    <row r="57" spans="1:12">
      <c r="A57" s="131"/>
      <c r="B57" s="143" t="s">
        <v>164</v>
      </c>
      <c r="C57" s="1"/>
      <c r="D57" s="54">
        <v>13</v>
      </c>
      <c r="E57" s="54">
        <v>1</v>
      </c>
      <c r="F57" s="54">
        <v>4.5999999999999996</v>
      </c>
      <c r="G57" s="54"/>
      <c r="H57" s="136"/>
      <c r="I57" s="54">
        <f t="shared" ref="I57" si="6">TRUNC(PRODUCT(D57:G57),2)-H57</f>
        <v>59.8</v>
      </c>
      <c r="L57" s="65"/>
    </row>
    <row r="58" spans="1:12">
      <c r="A58" s="131"/>
      <c r="B58" s="2"/>
      <c r="C58" s="1"/>
      <c r="D58" s="54"/>
      <c r="E58" s="54"/>
      <c r="F58" s="54"/>
      <c r="G58" s="54"/>
      <c r="H58" s="136"/>
      <c r="I58" s="54"/>
      <c r="L58" s="65"/>
    </row>
    <row r="59" spans="1:12">
      <c r="A59" s="131"/>
      <c r="B59" s="143" t="s">
        <v>165</v>
      </c>
      <c r="C59" s="1"/>
      <c r="D59" s="54"/>
      <c r="E59" s="54"/>
      <c r="F59" s="54"/>
      <c r="G59" s="54"/>
      <c r="H59" s="136"/>
      <c r="I59" s="54"/>
      <c r="L59" s="65"/>
    </row>
    <row r="60" spans="1:12">
      <c r="A60" s="131"/>
      <c r="B60" s="143"/>
      <c r="C60" s="1"/>
      <c r="D60" s="54"/>
      <c r="E60" s="54"/>
      <c r="F60" s="54"/>
      <c r="G60" s="54"/>
      <c r="H60" s="136"/>
      <c r="I60" s="54">
        <f t="shared" ref="I60:I65" si="7">TRUNC(PRODUCT(D60:G60),2)-H60</f>
        <v>0</v>
      </c>
      <c r="L60" s="65"/>
    </row>
    <row r="61" spans="1:12">
      <c r="A61" s="131"/>
      <c r="B61" s="143" t="s">
        <v>160</v>
      </c>
      <c r="C61" s="1"/>
      <c r="D61" s="54">
        <v>56.03</v>
      </c>
      <c r="E61" s="54"/>
      <c r="F61" s="54"/>
      <c r="G61" s="54">
        <v>9.1</v>
      </c>
      <c r="H61" s="54">
        <f>3.14*(0.6^2)*37*2</f>
        <v>83.649600000000007</v>
      </c>
      <c r="I61" s="54">
        <f t="shared" si="7"/>
        <v>426.22039999999998</v>
      </c>
      <c r="L61" s="65"/>
    </row>
    <row r="62" spans="1:12">
      <c r="A62" s="131"/>
      <c r="B62" s="143" t="s">
        <v>161</v>
      </c>
      <c r="C62" s="1"/>
      <c r="D62" s="54">
        <v>1</v>
      </c>
      <c r="E62" s="54"/>
      <c r="F62" s="54"/>
      <c r="G62" s="54">
        <v>21.55</v>
      </c>
      <c r="H62" s="136"/>
      <c r="I62" s="54">
        <f t="shared" si="7"/>
        <v>21.55</v>
      </c>
      <c r="L62" s="65"/>
    </row>
    <row r="63" spans="1:12">
      <c r="A63" s="131"/>
      <c r="B63" s="143" t="s">
        <v>162</v>
      </c>
      <c r="C63" s="1"/>
      <c r="D63" s="54">
        <v>10</v>
      </c>
      <c r="E63" s="54"/>
      <c r="F63" s="54"/>
      <c r="G63" s="54">
        <v>9.1</v>
      </c>
      <c r="H63" s="136"/>
      <c r="I63" s="54">
        <f t="shared" si="7"/>
        <v>91</v>
      </c>
      <c r="L63" s="65"/>
    </row>
    <row r="64" spans="1:12">
      <c r="A64" s="131"/>
      <c r="B64" s="143" t="s">
        <v>163</v>
      </c>
      <c r="C64" s="1"/>
      <c r="D64" s="54">
        <v>1</v>
      </c>
      <c r="E64" s="54"/>
      <c r="F64" s="54"/>
      <c r="G64" s="54">
        <v>7.21</v>
      </c>
      <c r="H64" s="136"/>
      <c r="I64" s="54">
        <f t="shared" si="7"/>
        <v>7.21</v>
      </c>
      <c r="L64" s="65"/>
    </row>
    <row r="65" spans="1:12">
      <c r="A65" s="131"/>
      <c r="B65" s="143" t="s">
        <v>164</v>
      </c>
      <c r="C65" s="1"/>
      <c r="D65" s="54">
        <v>13</v>
      </c>
      <c r="E65" s="54"/>
      <c r="F65" s="54"/>
      <c r="G65" s="54">
        <v>9.1</v>
      </c>
      <c r="H65" s="136"/>
      <c r="I65" s="54">
        <f t="shared" si="7"/>
        <v>118.3</v>
      </c>
      <c r="L65" s="65"/>
    </row>
    <row r="66" spans="1:12">
      <c r="A66" s="131"/>
      <c r="B66" s="143"/>
      <c r="C66" s="1"/>
      <c r="D66" s="54"/>
      <c r="E66" s="54"/>
      <c r="F66" s="54"/>
      <c r="G66" s="54"/>
      <c r="H66" s="136"/>
      <c r="I66" s="54">
        <f t="shared" ref="I66" si="8">TRUNC(PRODUCT(D66:G66),2)-H66</f>
        <v>0</v>
      </c>
      <c r="L66" s="65"/>
    </row>
    <row r="67" spans="1:12">
      <c r="A67" s="131"/>
      <c r="B67" s="143" t="s">
        <v>166</v>
      </c>
      <c r="C67" s="1"/>
      <c r="D67" s="54"/>
      <c r="E67" s="54"/>
      <c r="F67" s="54"/>
      <c r="G67" s="54"/>
      <c r="H67" s="136"/>
      <c r="I67" s="54"/>
      <c r="L67" s="65"/>
    </row>
    <row r="68" spans="1:12">
      <c r="A68" s="131"/>
      <c r="B68" s="143"/>
      <c r="C68" s="1"/>
      <c r="D68" s="54"/>
      <c r="E68" s="54"/>
      <c r="F68" s="54"/>
      <c r="G68" s="54"/>
      <c r="H68" s="136"/>
      <c r="I68" s="54">
        <f t="shared" ref="I68:I72" si="9">TRUNC(PRODUCT(D68:G68),2)-H68</f>
        <v>0</v>
      </c>
      <c r="L68" s="65"/>
    </row>
    <row r="69" spans="1:12">
      <c r="A69" s="131"/>
      <c r="B69" s="143" t="s">
        <v>167</v>
      </c>
      <c r="C69" s="1"/>
      <c r="D69" s="54">
        <v>8</v>
      </c>
      <c r="E69" s="54">
        <v>0.5</v>
      </c>
      <c r="F69" s="54">
        <v>0.5</v>
      </c>
      <c r="G69" s="54"/>
      <c r="H69" s="54"/>
      <c r="I69" s="54">
        <f t="shared" si="9"/>
        <v>2</v>
      </c>
      <c r="L69" s="65"/>
    </row>
    <row r="70" spans="1:12">
      <c r="A70" s="131"/>
      <c r="B70" s="143" t="s">
        <v>168</v>
      </c>
      <c r="C70" s="1"/>
      <c r="D70" s="54">
        <v>8</v>
      </c>
      <c r="E70" s="54">
        <v>0.5</v>
      </c>
      <c r="F70" s="54">
        <v>0.5</v>
      </c>
      <c r="G70" s="54"/>
      <c r="H70" s="136"/>
      <c r="I70" s="54">
        <f t="shared" si="9"/>
        <v>2</v>
      </c>
      <c r="L70" s="65"/>
    </row>
    <row r="71" spans="1:12">
      <c r="A71" s="131"/>
      <c r="B71" s="143" t="s">
        <v>169</v>
      </c>
      <c r="C71" s="1"/>
      <c r="D71" s="54">
        <v>99.37</v>
      </c>
      <c r="E71" s="54">
        <v>5.5</v>
      </c>
      <c r="F71" s="54">
        <v>0.2</v>
      </c>
      <c r="G71" s="54"/>
      <c r="H71" s="136"/>
      <c r="I71" s="54">
        <f t="shared" si="9"/>
        <v>109.3</v>
      </c>
      <c r="L71" s="65"/>
    </row>
    <row r="72" spans="1:12">
      <c r="A72" s="131"/>
      <c r="B72" s="143"/>
      <c r="C72" s="1"/>
      <c r="D72" s="54"/>
      <c r="E72" s="54"/>
      <c r="F72" s="54"/>
      <c r="G72" s="54"/>
      <c r="H72" s="136"/>
      <c r="I72" s="54">
        <f t="shared" si="9"/>
        <v>0</v>
      </c>
      <c r="L72" s="65"/>
    </row>
    <row r="73" spans="1:12" ht="52.8">
      <c r="A73" s="144" t="s">
        <v>8</v>
      </c>
      <c r="B73" s="145" t="s">
        <v>121</v>
      </c>
      <c r="C73" s="146" t="s">
        <v>2</v>
      </c>
      <c r="D73" s="147"/>
      <c r="E73" s="147"/>
      <c r="F73" s="147"/>
      <c r="G73" s="147"/>
      <c r="H73" s="147"/>
      <c r="I73" s="148">
        <f>SUM(I74:I94)</f>
        <v>2210.0804000000003</v>
      </c>
      <c r="L73" s="65"/>
    </row>
    <row r="74" spans="1:12">
      <c r="A74" s="131"/>
      <c r="B74" s="2"/>
      <c r="C74" s="1"/>
      <c r="D74" s="54"/>
      <c r="E74" s="54"/>
      <c r="F74" s="54"/>
      <c r="G74" s="54"/>
      <c r="H74" s="136"/>
      <c r="I74" s="54"/>
      <c r="L74" s="65"/>
    </row>
    <row r="75" spans="1:12">
      <c r="A75" s="131"/>
      <c r="B75" s="143" t="s">
        <v>159</v>
      </c>
      <c r="C75" s="1"/>
      <c r="D75" s="54"/>
      <c r="E75" s="54"/>
      <c r="F75" s="54"/>
      <c r="G75" s="54"/>
      <c r="H75" s="136"/>
      <c r="I75" s="54"/>
      <c r="L75" s="65"/>
    </row>
    <row r="76" spans="1:12">
      <c r="A76" s="131"/>
      <c r="B76" s="143"/>
      <c r="C76" s="1"/>
      <c r="D76" s="54"/>
      <c r="E76" s="54"/>
      <c r="F76" s="54"/>
      <c r="G76" s="54"/>
      <c r="H76" s="136"/>
      <c r="I76" s="54">
        <f t="shared" ref="I76:I81" si="10">TRUNC(PRODUCT(D76:G76),2)-H76</f>
        <v>0</v>
      </c>
      <c r="L76" s="65"/>
    </row>
    <row r="77" spans="1:12">
      <c r="A77" s="131"/>
      <c r="B77" s="143" t="s">
        <v>160</v>
      </c>
      <c r="C77" s="1"/>
      <c r="D77" s="54">
        <v>56.03</v>
      </c>
      <c r="E77" s="54"/>
      <c r="F77" s="54"/>
      <c r="G77" s="54">
        <v>13.35</v>
      </c>
      <c r="H77" s="54">
        <f>3.14*(0.6^2)*37</f>
        <v>41.824800000000003</v>
      </c>
      <c r="I77" s="54">
        <f t="shared" si="10"/>
        <v>706.17520000000002</v>
      </c>
      <c r="L77" s="65"/>
    </row>
    <row r="78" spans="1:12">
      <c r="A78" s="131"/>
      <c r="B78" s="143" t="s">
        <v>161</v>
      </c>
      <c r="C78" s="1"/>
      <c r="D78" s="54"/>
      <c r="E78" s="54"/>
      <c r="F78" s="54"/>
      <c r="G78" s="54">
        <f>21.55*2</f>
        <v>43.1</v>
      </c>
      <c r="H78" s="136"/>
      <c r="I78" s="54">
        <f t="shared" si="10"/>
        <v>43.1</v>
      </c>
      <c r="L78" s="65"/>
    </row>
    <row r="79" spans="1:12">
      <c r="A79" s="131"/>
      <c r="B79" s="143" t="s">
        <v>162</v>
      </c>
      <c r="C79" s="1"/>
      <c r="D79" s="54">
        <v>10</v>
      </c>
      <c r="E79" s="54"/>
      <c r="F79" s="54"/>
      <c r="G79" s="54">
        <f>4.6*2+2</f>
        <v>11.2</v>
      </c>
      <c r="H79" s="136"/>
      <c r="I79" s="54">
        <f t="shared" si="10"/>
        <v>112</v>
      </c>
      <c r="L79" s="65"/>
    </row>
    <row r="80" spans="1:12">
      <c r="A80" s="131"/>
      <c r="B80" s="143" t="s">
        <v>163</v>
      </c>
      <c r="C80" s="1"/>
      <c r="D80" s="54"/>
      <c r="E80" s="54"/>
      <c r="F80" s="54"/>
      <c r="G80" s="54">
        <f>7.21*2</f>
        <v>14.42</v>
      </c>
      <c r="H80" s="136"/>
      <c r="I80" s="54">
        <f t="shared" si="10"/>
        <v>14.42</v>
      </c>
      <c r="L80" s="65"/>
    </row>
    <row r="81" spans="1:12">
      <c r="A81" s="131"/>
      <c r="B81" s="143" t="s">
        <v>164</v>
      </c>
      <c r="C81" s="1"/>
      <c r="D81" s="54">
        <v>13</v>
      </c>
      <c r="E81" s="54"/>
      <c r="F81" s="54"/>
      <c r="G81" s="54">
        <f>4.6*2+2</f>
        <v>11.2</v>
      </c>
      <c r="H81" s="136"/>
      <c r="I81" s="54">
        <f t="shared" si="10"/>
        <v>145.6</v>
      </c>
      <c r="L81" s="65"/>
    </row>
    <row r="82" spans="1:12">
      <c r="A82" s="131"/>
      <c r="B82" s="2"/>
      <c r="C82" s="1"/>
      <c r="D82" s="54"/>
      <c r="E82" s="54"/>
      <c r="F82" s="54"/>
      <c r="G82" s="54"/>
      <c r="H82" s="136"/>
      <c r="I82" s="54"/>
      <c r="L82" s="65"/>
    </row>
    <row r="83" spans="1:12">
      <c r="A83" s="131"/>
      <c r="B83" s="143" t="s">
        <v>165</v>
      </c>
      <c r="C83" s="1"/>
      <c r="D83" s="54"/>
      <c r="E83" s="54"/>
      <c r="F83" s="54"/>
      <c r="G83" s="54"/>
      <c r="H83" s="136"/>
      <c r="I83" s="54"/>
      <c r="L83" s="65"/>
    </row>
    <row r="84" spans="1:12">
      <c r="A84" s="131"/>
      <c r="B84" s="143"/>
      <c r="C84" s="1"/>
      <c r="D84" s="54"/>
      <c r="E84" s="54"/>
      <c r="F84" s="54"/>
      <c r="G84" s="54"/>
      <c r="H84" s="136"/>
      <c r="I84" s="54">
        <f t="shared" ref="I84:I90" si="11">TRUNC(PRODUCT(D84:G84),2)-H84</f>
        <v>0</v>
      </c>
      <c r="L84" s="65"/>
    </row>
    <row r="85" spans="1:12">
      <c r="A85" s="131"/>
      <c r="B85" s="143" t="s">
        <v>160</v>
      </c>
      <c r="C85" s="1"/>
      <c r="D85" s="54">
        <v>56.03</v>
      </c>
      <c r="E85" s="54"/>
      <c r="F85" s="54"/>
      <c r="G85" s="54">
        <v>17.13</v>
      </c>
      <c r="H85" s="54">
        <f>3.14*(0.6^2)*37</f>
        <v>41.824800000000003</v>
      </c>
      <c r="I85" s="54">
        <f t="shared" si="11"/>
        <v>917.96519999999998</v>
      </c>
      <c r="L85" s="65"/>
    </row>
    <row r="86" spans="1:12">
      <c r="A86" s="131"/>
      <c r="B86" s="143" t="s">
        <v>161</v>
      </c>
      <c r="C86" s="1"/>
      <c r="D86" s="54"/>
      <c r="E86" s="54"/>
      <c r="F86" s="54"/>
      <c r="G86" s="54">
        <f>21.55*2</f>
        <v>43.1</v>
      </c>
      <c r="H86" s="136"/>
      <c r="I86" s="54">
        <f t="shared" si="11"/>
        <v>43.1</v>
      </c>
      <c r="L86" s="65"/>
    </row>
    <row r="87" spans="1:12">
      <c r="A87" s="131"/>
      <c r="B87" s="143" t="s">
        <v>162</v>
      </c>
      <c r="C87" s="1"/>
      <c r="D87" s="54">
        <v>10</v>
      </c>
      <c r="E87" s="54"/>
      <c r="F87" s="54"/>
      <c r="G87" s="54">
        <v>9.1</v>
      </c>
      <c r="H87" s="136"/>
      <c r="I87" s="54">
        <f t="shared" si="11"/>
        <v>91</v>
      </c>
      <c r="L87" s="65"/>
    </row>
    <row r="88" spans="1:12">
      <c r="A88" s="131"/>
      <c r="B88" s="143" t="s">
        <v>163</v>
      </c>
      <c r="C88" s="1"/>
      <c r="D88" s="54"/>
      <c r="E88" s="54"/>
      <c r="F88" s="54"/>
      <c r="G88" s="54">
        <f>7.21*2</f>
        <v>14.42</v>
      </c>
      <c r="H88" s="136"/>
      <c r="I88" s="54">
        <f t="shared" si="11"/>
        <v>14.42</v>
      </c>
      <c r="L88" s="65"/>
    </row>
    <row r="89" spans="1:12">
      <c r="A89" s="131"/>
      <c r="B89" s="143" t="s">
        <v>164</v>
      </c>
      <c r="C89" s="1"/>
      <c r="D89" s="54">
        <v>13</v>
      </c>
      <c r="E89" s="54"/>
      <c r="F89" s="54"/>
      <c r="G89" s="54">
        <v>9.1</v>
      </c>
      <c r="H89" s="136"/>
      <c r="I89" s="54">
        <f t="shared" si="11"/>
        <v>118.3</v>
      </c>
      <c r="L89" s="65"/>
    </row>
    <row r="90" spans="1:12">
      <c r="A90" s="131"/>
      <c r="B90" s="143"/>
      <c r="C90" s="1"/>
      <c r="D90" s="54"/>
      <c r="E90" s="54"/>
      <c r="F90" s="54"/>
      <c r="G90" s="54"/>
      <c r="H90" s="136"/>
      <c r="I90" s="54">
        <f t="shared" si="11"/>
        <v>0</v>
      </c>
      <c r="L90" s="65"/>
    </row>
    <row r="91" spans="1:12">
      <c r="A91" s="131"/>
      <c r="B91" s="143" t="s">
        <v>166</v>
      </c>
      <c r="C91" s="1"/>
      <c r="D91" s="54"/>
      <c r="E91" s="54"/>
      <c r="F91" s="54"/>
      <c r="G91" s="54"/>
      <c r="H91" s="136"/>
      <c r="I91" s="54"/>
      <c r="L91" s="65"/>
    </row>
    <row r="92" spans="1:12">
      <c r="A92" s="131"/>
      <c r="B92" s="143"/>
      <c r="C92" s="1"/>
      <c r="D92" s="54"/>
      <c r="E92" s="54"/>
      <c r="F92" s="54"/>
      <c r="G92" s="54"/>
      <c r="H92" s="136"/>
      <c r="I92" s="54">
        <f t="shared" ref="I92:I94" si="12">TRUNC(PRODUCT(D92:G92),2)-H92</f>
        <v>0</v>
      </c>
      <c r="L92" s="65"/>
    </row>
    <row r="93" spans="1:12">
      <c r="A93" s="131"/>
      <c r="B93" s="143" t="s">
        <v>167</v>
      </c>
      <c r="C93" s="1"/>
      <c r="D93" s="54">
        <v>8</v>
      </c>
      <c r="E93" s="54">
        <v>0.5</v>
      </c>
      <c r="F93" s="54">
        <v>0.5</v>
      </c>
      <c r="G93" s="54"/>
      <c r="H93" s="54"/>
      <c r="I93" s="54">
        <f t="shared" si="12"/>
        <v>2</v>
      </c>
      <c r="L93" s="65"/>
    </row>
    <row r="94" spans="1:12">
      <c r="A94" s="131"/>
      <c r="B94" s="143" t="s">
        <v>168</v>
      </c>
      <c r="C94" s="1"/>
      <c r="D94" s="54">
        <v>8</v>
      </c>
      <c r="E94" s="54">
        <v>0.5</v>
      </c>
      <c r="F94" s="54">
        <v>0.5</v>
      </c>
      <c r="G94" s="54"/>
      <c r="H94" s="136"/>
      <c r="I94" s="54">
        <f t="shared" si="12"/>
        <v>2</v>
      </c>
      <c r="L94" s="65"/>
    </row>
    <row r="95" spans="1:12">
      <c r="A95" s="131"/>
      <c r="B95" s="143"/>
      <c r="C95" s="1"/>
      <c r="D95" s="54"/>
      <c r="E95" s="54"/>
      <c r="F95" s="54"/>
      <c r="G95" s="54"/>
      <c r="H95" s="136"/>
      <c r="I95" s="54"/>
      <c r="L95" s="65"/>
    </row>
    <row r="96" spans="1:12" ht="13.8">
      <c r="A96" s="160"/>
      <c r="B96" s="161"/>
      <c r="C96" s="161"/>
      <c r="D96" s="161"/>
      <c r="E96" s="161"/>
      <c r="F96" s="161"/>
      <c r="G96" s="161"/>
      <c r="H96" s="161"/>
      <c r="I96" s="162"/>
    </row>
    <row r="97" spans="1:16">
      <c r="A97" s="182" t="s">
        <v>177</v>
      </c>
      <c r="B97" s="182"/>
      <c r="C97" s="182"/>
      <c r="D97" s="182"/>
      <c r="E97" s="182"/>
      <c r="F97" s="182"/>
      <c r="G97" s="182"/>
      <c r="H97" s="182"/>
      <c r="I97" s="182"/>
    </row>
    <row r="98" spans="1:16" ht="52.8">
      <c r="A98" s="144" t="s">
        <v>9</v>
      </c>
      <c r="B98" s="145" t="s">
        <v>116</v>
      </c>
      <c r="C98" s="146" t="s">
        <v>1</v>
      </c>
      <c r="D98" s="147"/>
      <c r="E98" s="147"/>
      <c r="F98" s="147"/>
      <c r="G98" s="147"/>
      <c r="H98" s="147"/>
      <c r="I98" s="148">
        <f>SUM(I99:I100)</f>
        <v>296</v>
      </c>
      <c r="L98" s="65"/>
    </row>
    <row r="99" spans="1:16">
      <c r="A99" s="131"/>
      <c r="B99" s="2"/>
      <c r="C99" s="1"/>
      <c r="D99" s="54"/>
      <c r="E99" s="54"/>
      <c r="F99" s="54"/>
      <c r="G99" s="54"/>
      <c r="H99" s="136"/>
      <c r="I99" s="54"/>
      <c r="L99" s="65"/>
    </row>
    <row r="100" spans="1:16">
      <c r="A100" s="131"/>
      <c r="B100" s="143" t="s">
        <v>158</v>
      </c>
      <c r="C100" s="1"/>
      <c r="D100" s="54">
        <v>8</v>
      </c>
      <c r="E100" s="54"/>
      <c r="F100" s="54"/>
      <c r="G100" s="54">
        <v>37</v>
      </c>
      <c r="H100" s="54"/>
      <c r="I100" s="54">
        <f t="shared" ref="I100" si="13">TRUNC(PRODUCT(D100:G100),2)-H100</f>
        <v>296</v>
      </c>
      <c r="L100" s="65"/>
    </row>
    <row r="101" spans="1:16" ht="13.8">
      <c r="A101" s="160"/>
      <c r="B101" s="161"/>
      <c r="C101" s="161"/>
      <c r="D101" s="161"/>
      <c r="E101" s="161"/>
      <c r="F101" s="161"/>
      <c r="G101" s="161"/>
      <c r="H101" s="161"/>
      <c r="I101" s="162"/>
      <c r="K101" t="e">
        <f>(#REF!*0.57)/85701.15</f>
        <v>#REF!</v>
      </c>
      <c r="M101">
        <f>198931.39*0.36</f>
        <v>71615.300400000007</v>
      </c>
    </row>
    <row r="102" spans="1:16">
      <c r="A102" s="182" t="s">
        <v>178</v>
      </c>
      <c r="B102" s="182"/>
      <c r="C102" s="182"/>
      <c r="D102" s="182"/>
      <c r="E102" s="182"/>
      <c r="F102" s="182"/>
      <c r="G102" s="182"/>
      <c r="H102" s="182"/>
      <c r="I102" s="182"/>
    </row>
    <row r="103" spans="1:16" ht="39.6">
      <c r="A103" s="5" t="s">
        <v>10</v>
      </c>
      <c r="B103" s="2" t="s">
        <v>117</v>
      </c>
      <c r="C103" s="1" t="s">
        <v>12</v>
      </c>
      <c r="D103" s="54">
        <v>99.37</v>
      </c>
      <c r="E103" s="54">
        <v>8</v>
      </c>
      <c r="F103" s="54">
        <v>0.15</v>
      </c>
      <c r="G103" s="54"/>
      <c r="H103" s="54"/>
      <c r="I103" s="149">
        <f>TRUNC(PRODUCT(D103:G103),2)-H103</f>
        <v>119.24</v>
      </c>
      <c r="J103">
        <f>20*E103*F103</f>
        <v>24</v>
      </c>
      <c r="K103">
        <v>19.5</v>
      </c>
      <c r="L103" s="65">
        <v>53.54</v>
      </c>
      <c r="M103">
        <v>9.4600000000000009</v>
      </c>
    </row>
    <row r="104" spans="1:16" ht="26.4">
      <c r="A104" s="5" t="s">
        <v>179</v>
      </c>
      <c r="B104" s="2" t="s">
        <v>118</v>
      </c>
      <c r="C104" s="1" t="s">
        <v>2</v>
      </c>
      <c r="D104" s="54">
        <v>99.37</v>
      </c>
      <c r="E104" s="54">
        <v>8</v>
      </c>
      <c r="F104" s="54"/>
      <c r="G104" s="54"/>
      <c r="H104" s="54"/>
      <c r="I104" s="149">
        <f t="shared" ref="I104:I106" si="14">TRUNC(PRODUCT(D104:G104),2)-H104</f>
        <v>794.96</v>
      </c>
      <c r="J104" s="65">
        <f>($M$107/103)*J103</f>
        <v>1266.4618252427183</v>
      </c>
      <c r="K104" s="65">
        <f t="shared" ref="K104:M104" si="15">($M$107/103)*K103</f>
        <v>1029.0002330097086</v>
      </c>
      <c r="L104" s="65">
        <f t="shared" si="15"/>
        <v>2825.2652551456308</v>
      </c>
      <c r="M104" s="65">
        <f t="shared" si="15"/>
        <v>499.19703611650488</v>
      </c>
      <c r="O104" s="65">
        <f>103*7</f>
        <v>721</v>
      </c>
      <c r="P104">
        <f>O104*1.3</f>
        <v>937.30000000000007</v>
      </c>
    </row>
    <row r="105" spans="1:16" ht="26.4">
      <c r="A105" s="5" t="s">
        <v>180</v>
      </c>
      <c r="B105" s="2" t="s">
        <v>137</v>
      </c>
      <c r="C105" s="1" t="s">
        <v>103</v>
      </c>
      <c r="D105" s="54"/>
      <c r="E105" s="54"/>
      <c r="F105" s="54"/>
      <c r="G105" s="54">
        <v>1776.5</v>
      </c>
      <c r="H105" s="54"/>
      <c r="I105" s="149">
        <f t="shared" si="14"/>
        <v>1776.5</v>
      </c>
      <c r="L105" s="65">
        <f>6.44/0.25</f>
        <v>25.76</v>
      </c>
      <c r="M105">
        <f>L105*103</f>
        <v>2653.28</v>
      </c>
      <c r="O105">
        <f>O104*2.2</f>
        <v>1586.2</v>
      </c>
      <c r="P105">
        <f>P104*2.2</f>
        <v>2062.0600000000004</v>
      </c>
    </row>
    <row r="106" spans="1:16" ht="39.6">
      <c r="A106" s="5" t="s">
        <v>181</v>
      </c>
      <c r="B106" s="2" t="s">
        <v>139</v>
      </c>
      <c r="C106" s="1" t="s">
        <v>103</v>
      </c>
      <c r="D106" s="54"/>
      <c r="E106" s="54"/>
      <c r="F106" s="54"/>
      <c r="G106" s="54">
        <v>38.35</v>
      </c>
      <c r="H106" s="54"/>
      <c r="I106" s="149">
        <f t="shared" si="14"/>
        <v>38.35</v>
      </c>
      <c r="L106" s="65">
        <f>102.94/0.25</f>
        <v>411.76</v>
      </c>
      <c r="M106">
        <f>L106*13.2</f>
        <v>5435.232</v>
      </c>
      <c r="O106">
        <f>6.5-0.06</f>
        <v>6.44</v>
      </c>
    </row>
    <row r="107" spans="1:16" ht="52.8">
      <c r="A107" s="5" t="s">
        <v>182</v>
      </c>
      <c r="B107" s="2" t="s">
        <v>138</v>
      </c>
      <c r="C107" s="1" t="s">
        <v>103</v>
      </c>
      <c r="D107" s="54"/>
      <c r="E107" s="54"/>
      <c r="F107" s="54"/>
      <c r="G107" s="54">
        <v>359.79</v>
      </c>
      <c r="H107" s="54"/>
      <c r="I107" s="149">
        <f t="shared" ref="I107:I108" si="16">TRUNC(PRODUCT(D107:G107),2)-H107</f>
        <v>359.79</v>
      </c>
      <c r="K107" s="154"/>
      <c r="L107" s="65">
        <f>102.94/0.25</f>
        <v>411.76</v>
      </c>
      <c r="M107">
        <f>L107*13.2</f>
        <v>5435.232</v>
      </c>
      <c r="O107">
        <f>6.5-0.06</f>
        <v>6.44</v>
      </c>
    </row>
    <row r="108" spans="1:16" ht="39.6">
      <c r="A108" s="5" t="s">
        <v>183</v>
      </c>
      <c r="B108" s="2" t="s">
        <v>122</v>
      </c>
      <c r="C108" s="1" t="s">
        <v>2</v>
      </c>
      <c r="D108" s="54">
        <f>(99.37+8)*2*0.15</f>
        <v>32.210999999999999</v>
      </c>
      <c r="E108" s="54"/>
      <c r="F108" s="54"/>
      <c r="G108" s="54"/>
      <c r="H108" s="54"/>
      <c r="I108" s="149">
        <f t="shared" si="16"/>
        <v>32.21</v>
      </c>
      <c r="K108" s="154">
        <v>680</v>
      </c>
      <c r="L108" s="65"/>
      <c r="M108">
        <v>1.5780000000000001</v>
      </c>
      <c r="O108">
        <f>O107*2</f>
        <v>12.88</v>
      </c>
    </row>
    <row r="109" spans="1:16" ht="13.8">
      <c r="A109" s="160"/>
      <c r="B109" s="161"/>
      <c r="C109" s="161"/>
      <c r="D109" s="161"/>
      <c r="E109" s="161"/>
      <c r="F109" s="161"/>
      <c r="G109" s="161"/>
      <c r="H109" s="161"/>
      <c r="I109" s="162"/>
      <c r="K109" s="154">
        <f>K108*0.6</f>
        <v>408</v>
      </c>
    </row>
    <row r="110" spans="1:16">
      <c r="A110" s="182" t="s">
        <v>184</v>
      </c>
      <c r="B110" s="182"/>
      <c r="C110" s="182"/>
      <c r="D110" s="182"/>
      <c r="E110" s="182"/>
      <c r="F110" s="182"/>
      <c r="G110" s="182"/>
      <c r="H110" s="182"/>
      <c r="I110" s="182"/>
      <c r="K110" s="154">
        <f>K109*M108</f>
        <v>643.82400000000007</v>
      </c>
      <c r="O110">
        <f>O108+1</f>
        <v>13.88</v>
      </c>
    </row>
    <row r="111" spans="1:16" ht="26.4">
      <c r="A111" s="5" t="s">
        <v>11</v>
      </c>
      <c r="B111" s="2" t="s">
        <v>119</v>
      </c>
      <c r="C111" s="1" t="s">
        <v>120</v>
      </c>
      <c r="D111" s="54"/>
      <c r="E111" s="54"/>
      <c r="F111" s="54"/>
      <c r="G111" s="54">
        <v>42</v>
      </c>
      <c r="H111" s="54"/>
      <c r="I111" s="149">
        <f t="shared" ref="I111" si="17">TRUNC(PRODUCT(D111:G111),2)-H111</f>
        <v>42</v>
      </c>
      <c r="L111" s="65"/>
    </row>
    <row r="112" spans="1:16" ht="13.8">
      <c r="A112" s="160"/>
      <c r="B112" s="161"/>
      <c r="C112" s="161"/>
      <c r="D112" s="161"/>
      <c r="E112" s="161"/>
      <c r="F112" s="161"/>
      <c r="G112" s="161"/>
      <c r="H112" s="161"/>
      <c r="I112" s="162"/>
    </row>
    <row r="113" spans="1:9">
      <c r="A113" s="59"/>
      <c r="B113" s="60"/>
      <c r="C113" s="59"/>
      <c r="D113" s="59"/>
      <c r="E113" s="59"/>
      <c r="F113" s="59"/>
      <c r="G113" s="59"/>
      <c r="H113" s="59"/>
      <c r="I113" s="59"/>
    </row>
    <row r="114" spans="1:9">
      <c r="A114" s="59"/>
      <c r="B114" s="60"/>
      <c r="C114" s="59"/>
      <c r="D114" s="59"/>
      <c r="E114" s="59"/>
      <c r="F114" s="59"/>
      <c r="G114" s="59"/>
      <c r="H114" s="59"/>
      <c r="I114" s="59"/>
    </row>
    <row r="115" spans="1:9">
      <c r="A115" s="59"/>
      <c r="B115" s="60"/>
      <c r="C115" s="59"/>
      <c r="D115" s="59"/>
      <c r="E115" s="59"/>
      <c r="F115" s="59"/>
      <c r="G115" s="59"/>
      <c r="H115" s="59"/>
      <c r="I115" s="59"/>
    </row>
    <row r="116" spans="1:9">
      <c r="A116" s="59"/>
      <c r="B116" s="60"/>
      <c r="C116" s="59"/>
      <c r="D116" s="59"/>
      <c r="E116" s="59"/>
      <c r="F116" s="59"/>
      <c r="G116" s="59"/>
      <c r="H116" s="59"/>
      <c r="I116" s="59"/>
    </row>
    <row r="117" spans="1:9">
      <c r="A117" s="59"/>
      <c r="B117" s="60"/>
      <c r="C117" s="59"/>
      <c r="D117" s="59"/>
      <c r="E117" s="59"/>
      <c r="F117" s="59"/>
      <c r="G117" s="59"/>
      <c r="H117" s="59"/>
      <c r="I117" s="59"/>
    </row>
    <row r="118" spans="1:9">
      <c r="A118" s="59"/>
      <c r="B118" s="60"/>
      <c r="C118" s="59"/>
      <c r="D118" s="59"/>
      <c r="E118" s="59"/>
      <c r="F118" s="59"/>
      <c r="G118" s="59"/>
      <c r="H118" s="59"/>
      <c r="I118" s="59"/>
    </row>
    <row r="119" spans="1:9">
      <c r="A119" s="59"/>
      <c r="B119" s="60"/>
      <c r="C119" s="59"/>
      <c r="D119" s="59"/>
      <c r="E119" s="59"/>
      <c r="F119" s="59"/>
      <c r="G119" s="59"/>
      <c r="H119" s="59"/>
      <c r="I119" s="59"/>
    </row>
    <row r="120" spans="1:9">
      <c r="A120" s="59"/>
      <c r="B120" s="60"/>
      <c r="C120" s="59"/>
      <c r="D120" s="59"/>
      <c r="E120" s="59"/>
      <c r="F120" s="59"/>
      <c r="G120" s="59"/>
      <c r="H120" s="59"/>
      <c r="I120" s="59"/>
    </row>
    <row r="121" spans="1:9">
      <c r="A121" s="59"/>
      <c r="B121" s="60"/>
      <c r="C121" s="59"/>
      <c r="D121" s="59"/>
      <c r="E121" s="59"/>
      <c r="F121" s="59"/>
      <c r="G121" s="59"/>
      <c r="H121" s="59"/>
      <c r="I121" s="59"/>
    </row>
    <row r="122" spans="1:9">
      <c r="A122" s="59"/>
      <c r="B122" s="60"/>
      <c r="C122" s="59"/>
      <c r="D122" s="59"/>
      <c r="E122" s="59"/>
      <c r="F122" s="59"/>
      <c r="G122" s="59"/>
      <c r="H122" s="59"/>
      <c r="I122" s="59"/>
    </row>
    <row r="123" spans="1:9">
      <c r="A123" s="59"/>
      <c r="B123" s="60"/>
      <c r="C123" s="59"/>
      <c r="D123" s="59"/>
      <c r="E123" s="59"/>
      <c r="F123" s="59"/>
      <c r="G123" s="59"/>
      <c r="H123" s="59"/>
      <c r="I123" s="59"/>
    </row>
    <row r="124" spans="1:9">
      <c r="A124" s="59"/>
      <c r="B124" s="60"/>
      <c r="C124" s="59"/>
      <c r="D124" s="59"/>
      <c r="E124" s="59"/>
      <c r="F124" s="59"/>
      <c r="G124" s="59"/>
      <c r="H124" s="59"/>
      <c r="I124" s="59"/>
    </row>
    <row r="125" spans="1:9">
      <c r="A125" s="59"/>
      <c r="B125" s="60"/>
      <c r="C125" s="59"/>
      <c r="D125" s="59"/>
      <c r="E125" s="59"/>
      <c r="F125" s="59"/>
      <c r="G125" s="59"/>
      <c r="H125" s="59"/>
      <c r="I125" s="59"/>
    </row>
    <row r="126" spans="1:9">
      <c r="A126" s="59"/>
      <c r="B126" s="60"/>
      <c r="C126" s="59"/>
      <c r="D126" s="59"/>
      <c r="E126" s="59"/>
      <c r="F126" s="59"/>
      <c r="G126" s="59"/>
      <c r="H126" s="59"/>
      <c r="I126" s="59"/>
    </row>
    <row r="127" spans="1:9">
      <c r="A127" s="59"/>
      <c r="B127" s="60"/>
      <c r="C127" s="59"/>
      <c r="D127" s="59"/>
      <c r="E127" s="59"/>
      <c r="F127" s="59"/>
      <c r="G127" s="59"/>
      <c r="H127" s="59"/>
      <c r="I127" s="59"/>
    </row>
    <row r="128" spans="1:9">
      <c r="A128" s="59"/>
      <c r="B128" s="60"/>
      <c r="C128" s="59"/>
      <c r="D128" s="59"/>
      <c r="E128" s="59"/>
      <c r="F128" s="59"/>
      <c r="G128" s="59"/>
      <c r="H128" s="59"/>
      <c r="I128" s="59"/>
    </row>
    <row r="129" spans="1:9">
      <c r="A129" s="59"/>
      <c r="B129" s="60"/>
      <c r="C129" s="59"/>
      <c r="D129" s="59"/>
      <c r="E129" s="59"/>
      <c r="F129" s="59"/>
      <c r="G129" s="59"/>
      <c r="H129" s="59"/>
      <c r="I129" s="59"/>
    </row>
    <row r="130" spans="1:9">
      <c r="A130" s="59"/>
      <c r="B130" s="60"/>
      <c r="C130" s="59"/>
      <c r="D130" s="59"/>
      <c r="E130" s="59"/>
      <c r="F130" s="59"/>
      <c r="G130" s="59"/>
      <c r="H130" s="59"/>
      <c r="I130" s="59"/>
    </row>
    <row r="131" spans="1:9">
      <c r="A131" s="59"/>
      <c r="B131" s="60"/>
      <c r="C131" s="59"/>
      <c r="D131" s="59"/>
      <c r="E131" s="59"/>
      <c r="F131" s="59"/>
      <c r="G131" s="59"/>
      <c r="H131" s="59"/>
      <c r="I131" s="59"/>
    </row>
    <row r="132" spans="1:9">
      <c r="A132" s="59"/>
      <c r="B132" s="60"/>
      <c r="C132" s="59"/>
      <c r="D132" s="59"/>
      <c r="E132" s="59"/>
      <c r="F132" s="59"/>
      <c r="G132" s="59"/>
      <c r="H132" s="59"/>
      <c r="I132" s="59"/>
    </row>
    <row r="133" spans="1:9">
      <c r="A133" s="59"/>
      <c r="B133" s="60"/>
      <c r="C133" s="59"/>
      <c r="D133" s="59"/>
      <c r="E133" s="59"/>
      <c r="F133" s="59"/>
      <c r="G133" s="59"/>
      <c r="H133" s="59"/>
      <c r="I133" s="59"/>
    </row>
    <row r="134" spans="1:9">
      <c r="A134" s="59"/>
      <c r="B134" s="60"/>
      <c r="C134" s="59"/>
      <c r="D134" s="59"/>
      <c r="E134" s="59"/>
      <c r="F134" s="59"/>
      <c r="G134" s="59"/>
      <c r="H134" s="59"/>
      <c r="I134" s="59"/>
    </row>
    <row r="135" spans="1:9">
      <c r="A135" s="59"/>
      <c r="B135" s="60"/>
      <c r="C135" s="59"/>
      <c r="D135" s="59"/>
      <c r="E135" s="59"/>
      <c r="F135" s="59"/>
      <c r="G135" s="59"/>
      <c r="H135" s="59"/>
      <c r="I135" s="59"/>
    </row>
    <row r="136" spans="1:9">
      <c r="A136" s="59"/>
      <c r="B136" s="60"/>
      <c r="C136" s="59"/>
      <c r="D136" s="59"/>
      <c r="E136" s="59"/>
      <c r="F136" s="59"/>
      <c r="G136" s="59"/>
      <c r="H136" s="59"/>
      <c r="I136" s="59"/>
    </row>
    <row r="137" spans="1:9">
      <c r="A137" s="59"/>
      <c r="B137" s="60"/>
      <c r="C137" s="59"/>
      <c r="D137" s="59"/>
      <c r="E137" s="59"/>
      <c r="F137" s="59"/>
      <c r="G137" s="59"/>
      <c r="H137" s="59"/>
      <c r="I137" s="59"/>
    </row>
    <row r="138" spans="1:9">
      <c r="A138" s="59"/>
      <c r="B138" s="60"/>
      <c r="C138" s="59"/>
      <c r="D138" s="59"/>
      <c r="E138" s="59"/>
      <c r="F138" s="59"/>
      <c r="G138" s="59"/>
      <c r="H138" s="59"/>
      <c r="I138" s="59"/>
    </row>
    <row r="139" spans="1:9">
      <c r="A139" s="59"/>
      <c r="B139" s="60"/>
      <c r="C139" s="59"/>
      <c r="D139" s="59"/>
      <c r="E139" s="59"/>
      <c r="F139" s="59"/>
      <c r="G139" s="59"/>
      <c r="H139" s="59"/>
      <c r="I139" s="59"/>
    </row>
    <row r="140" spans="1:9">
      <c r="A140" s="59"/>
      <c r="B140" s="60"/>
      <c r="C140" s="59"/>
      <c r="D140" s="59"/>
      <c r="E140" s="59"/>
      <c r="F140" s="59"/>
      <c r="G140" s="59"/>
      <c r="H140" s="59"/>
      <c r="I140" s="59"/>
    </row>
    <row r="141" spans="1:9">
      <c r="A141" s="59"/>
      <c r="B141" s="60"/>
      <c r="C141" s="59"/>
      <c r="D141" s="59"/>
      <c r="E141" s="59"/>
      <c r="F141" s="59"/>
      <c r="G141" s="59"/>
      <c r="H141" s="59"/>
      <c r="I141" s="59"/>
    </row>
    <row r="142" spans="1:9">
      <c r="A142" s="59"/>
      <c r="B142" s="60"/>
      <c r="C142" s="59"/>
      <c r="D142" s="59"/>
      <c r="E142" s="59"/>
      <c r="F142" s="59"/>
      <c r="G142" s="59"/>
      <c r="H142" s="59"/>
      <c r="I142" s="59"/>
    </row>
    <row r="143" spans="1:9">
      <c r="A143" s="59"/>
      <c r="B143" s="60"/>
      <c r="C143" s="59"/>
      <c r="D143" s="59"/>
      <c r="E143" s="59"/>
      <c r="F143" s="59"/>
      <c r="G143" s="59"/>
      <c r="H143" s="59"/>
      <c r="I143" s="59"/>
    </row>
    <row r="144" spans="1:9">
      <c r="A144" s="59"/>
      <c r="B144" s="60"/>
      <c r="C144" s="59"/>
      <c r="D144" s="59"/>
      <c r="E144" s="59"/>
      <c r="F144" s="59"/>
      <c r="G144" s="59"/>
      <c r="H144" s="59"/>
      <c r="I144" s="59"/>
    </row>
    <row r="145" spans="1:9">
      <c r="A145" s="59"/>
      <c r="B145" s="60"/>
      <c r="C145" s="59"/>
      <c r="D145" s="59"/>
      <c r="E145" s="59"/>
      <c r="F145" s="59"/>
      <c r="G145" s="59"/>
      <c r="H145" s="59"/>
      <c r="I145" s="59"/>
    </row>
    <row r="146" spans="1:9">
      <c r="A146" s="59"/>
      <c r="B146" s="60"/>
      <c r="C146" s="59"/>
      <c r="D146" s="59"/>
      <c r="E146" s="59"/>
      <c r="F146" s="59"/>
      <c r="G146" s="59"/>
      <c r="H146" s="59"/>
      <c r="I146" s="59"/>
    </row>
    <row r="147" spans="1:9">
      <c r="A147" s="59"/>
      <c r="B147" s="60"/>
      <c r="C147" s="59"/>
      <c r="D147" s="59"/>
      <c r="E147" s="59"/>
      <c r="F147" s="59"/>
      <c r="G147" s="59"/>
      <c r="H147" s="59"/>
      <c r="I147" s="59"/>
    </row>
    <row r="148" spans="1:9">
      <c r="A148" s="59"/>
      <c r="B148" s="60"/>
      <c r="C148" s="59"/>
      <c r="D148" s="59"/>
      <c r="E148" s="59"/>
      <c r="F148" s="59"/>
      <c r="G148" s="59"/>
      <c r="H148" s="59"/>
      <c r="I148" s="59"/>
    </row>
    <row r="149" spans="1:9">
      <c r="A149" s="59"/>
      <c r="B149" s="60"/>
      <c r="C149" s="59"/>
      <c r="D149" s="59"/>
      <c r="E149" s="59"/>
      <c r="F149" s="59"/>
      <c r="G149" s="59"/>
      <c r="H149" s="59"/>
      <c r="I149" s="59"/>
    </row>
    <row r="150" spans="1:9">
      <c r="A150" s="59"/>
      <c r="B150" s="60"/>
      <c r="C150" s="59"/>
      <c r="D150" s="59"/>
      <c r="E150" s="59"/>
      <c r="F150" s="59"/>
      <c r="G150" s="59"/>
      <c r="H150" s="59"/>
      <c r="I150" s="59"/>
    </row>
    <row r="151" spans="1:9">
      <c r="A151" s="59"/>
      <c r="B151" s="60"/>
      <c r="C151" s="59"/>
      <c r="D151" s="59"/>
      <c r="E151" s="59"/>
      <c r="F151" s="59"/>
      <c r="G151" s="59"/>
      <c r="H151" s="59"/>
      <c r="I151" s="59"/>
    </row>
    <row r="152" spans="1:9">
      <c r="A152" s="59"/>
      <c r="B152" s="60"/>
      <c r="C152" s="59"/>
      <c r="D152" s="59"/>
      <c r="E152" s="59"/>
      <c r="F152" s="59"/>
      <c r="G152" s="59"/>
      <c r="H152" s="59"/>
      <c r="I152" s="59"/>
    </row>
    <row r="153" spans="1:9">
      <c r="A153" s="59"/>
      <c r="B153" s="60"/>
      <c r="C153" s="59"/>
      <c r="D153" s="59"/>
      <c r="E153" s="59"/>
      <c r="F153" s="59"/>
      <c r="G153" s="59"/>
      <c r="H153" s="59"/>
      <c r="I153" s="59"/>
    </row>
    <row r="154" spans="1:9">
      <c r="A154" s="59"/>
      <c r="B154" s="60"/>
      <c r="C154" s="59"/>
      <c r="D154" s="59"/>
      <c r="E154" s="59"/>
      <c r="F154" s="59"/>
      <c r="G154" s="59"/>
      <c r="H154" s="59"/>
      <c r="I154" s="59"/>
    </row>
    <row r="155" spans="1:9">
      <c r="A155" s="59"/>
      <c r="B155" s="60"/>
      <c r="C155" s="59"/>
      <c r="D155" s="59"/>
      <c r="E155" s="59"/>
      <c r="F155" s="59"/>
      <c r="G155" s="59"/>
      <c r="H155" s="59"/>
      <c r="I155" s="59"/>
    </row>
    <row r="156" spans="1:9">
      <c r="A156" s="59"/>
      <c r="B156" s="60"/>
      <c r="C156" s="59"/>
      <c r="D156" s="59"/>
      <c r="E156" s="59"/>
      <c r="F156" s="59"/>
      <c r="G156" s="59"/>
      <c r="H156" s="59"/>
      <c r="I156" s="59"/>
    </row>
    <row r="157" spans="1:9">
      <c r="A157" s="59"/>
      <c r="B157" s="60"/>
      <c r="C157" s="59"/>
      <c r="D157" s="59"/>
      <c r="E157" s="59"/>
      <c r="F157" s="59"/>
      <c r="G157" s="59"/>
      <c r="H157" s="59"/>
      <c r="I157" s="59"/>
    </row>
    <row r="158" spans="1:9">
      <c r="A158" s="59"/>
      <c r="B158" s="60"/>
      <c r="C158" s="59"/>
      <c r="D158" s="59"/>
      <c r="E158" s="59"/>
      <c r="F158" s="59"/>
      <c r="G158" s="59"/>
      <c r="H158" s="59"/>
      <c r="I158" s="59"/>
    </row>
    <row r="159" spans="1:9">
      <c r="A159" s="59"/>
      <c r="B159" s="60"/>
      <c r="C159" s="59"/>
      <c r="D159" s="59"/>
      <c r="E159" s="59"/>
      <c r="F159" s="59"/>
      <c r="G159" s="59"/>
      <c r="H159" s="59"/>
      <c r="I159" s="59"/>
    </row>
    <row r="160" spans="1:9">
      <c r="A160" s="59"/>
      <c r="B160" s="60"/>
      <c r="C160" s="59"/>
      <c r="D160" s="59"/>
      <c r="E160" s="59"/>
      <c r="F160" s="59"/>
      <c r="G160" s="59"/>
      <c r="H160" s="59"/>
      <c r="I160" s="59"/>
    </row>
    <row r="161" spans="1:9">
      <c r="A161" s="59"/>
      <c r="B161" s="60"/>
      <c r="C161" s="59"/>
      <c r="D161" s="59"/>
      <c r="E161" s="59"/>
      <c r="F161" s="59"/>
      <c r="G161" s="59"/>
      <c r="H161" s="59"/>
      <c r="I161" s="59"/>
    </row>
    <row r="162" spans="1:9">
      <c r="A162" s="59"/>
      <c r="B162" s="60"/>
      <c r="C162" s="59"/>
      <c r="D162" s="59"/>
      <c r="E162" s="59"/>
      <c r="F162" s="59"/>
      <c r="G162" s="59"/>
      <c r="H162" s="59"/>
      <c r="I162" s="59"/>
    </row>
    <row r="163" spans="1:9">
      <c r="A163" s="59"/>
      <c r="B163" s="60"/>
      <c r="C163" s="59"/>
      <c r="D163" s="59"/>
      <c r="E163" s="59"/>
      <c r="F163" s="59"/>
      <c r="G163" s="59"/>
      <c r="H163" s="59"/>
      <c r="I163" s="59"/>
    </row>
    <row r="164" spans="1:9">
      <c r="A164" s="59"/>
      <c r="B164" s="60"/>
      <c r="C164" s="59"/>
      <c r="D164" s="59"/>
      <c r="E164" s="59"/>
      <c r="F164" s="59"/>
      <c r="G164" s="59"/>
      <c r="H164" s="59"/>
      <c r="I164" s="59"/>
    </row>
    <row r="165" spans="1:9">
      <c r="A165" s="59"/>
      <c r="B165" s="60"/>
      <c r="C165" s="59"/>
      <c r="D165" s="59"/>
      <c r="E165" s="59"/>
      <c r="F165" s="59"/>
      <c r="G165" s="59"/>
      <c r="H165" s="59"/>
      <c r="I165" s="59"/>
    </row>
    <row r="166" spans="1:9">
      <c r="A166" s="59"/>
      <c r="B166" s="60"/>
      <c r="C166" s="59"/>
      <c r="D166" s="59"/>
      <c r="E166" s="59"/>
      <c r="F166" s="59"/>
      <c r="G166" s="59"/>
      <c r="H166" s="59"/>
      <c r="I166" s="59"/>
    </row>
    <row r="167" spans="1:9">
      <c r="A167" s="59"/>
      <c r="B167" s="60"/>
      <c r="C167" s="59"/>
      <c r="D167" s="59"/>
      <c r="E167" s="59"/>
      <c r="F167" s="59"/>
      <c r="G167" s="59"/>
      <c r="H167" s="59"/>
      <c r="I167" s="59"/>
    </row>
    <row r="168" spans="1:9">
      <c r="A168" s="59"/>
      <c r="B168" s="60"/>
      <c r="C168" s="59"/>
      <c r="D168" s="59"/>
      <c r="E168" s="59"/>
      <c r="F168" s="59"/>
      <c r="G168" s="59"/>
      <c r="H168" s="59"/>
      <c r="I168" s="59"/>
    </row>
    <row r="169" spans="1:9">
      <c r="A169" s="59"/>
      <c r="B169" s="60"/>
      <c r="C169" s="59"/>
      <c r="D169" s="59"/>
      <c r="E169" s="59"/>
      <c r="F169" s="59"/>
      <c r="G169" s="59"/>
      <c r="H169" s="59"/>
      <c r="I169" s="59"/>
    </row>
    <row r="170" spans="1:9">
      <c r="A170" s="59"/>
      <c r="B170" s="60"/>
      <c r="C170" s="59"/>
      <c r="D170" s="59"/>
      <c r="E170" s="59"/>
      <c r="F170" s="59"/>
      <c r="G170" s="59"/>
      <c r="H170" s="59"/>
      <c r="I170" s="59"/>
    </row>
    <row r="171" spans="1:9">
      <c r="A171" s="59"/>
      <c r="B171" s="60"/>
      <c r="C171" s="59"/>
      <c r="D171" s="59"/>
      <c r="E171" s="59"/>
      <c r="F171" s="59"/>
      <c r="G171" s="59"/>
      <c r="H171" s="59"/>
      <c r="I171" s="59"/>
    </row>
    <row r="172" spans="1:9">
      <c r="A172" s="59"/>
      <c r="B172" s="60"/>
      <c r="C172" s="59"/>
      <c r="D172" s="59"/>
      <c r="E172" s="59"/>
      <c r="F172" s="59"/>
      <c r="G172" s="59"/>
      <c r="H172" s="59"/>
      <c r="I172" s="59"/>
    </row>
    <row r="173" spans="1:9">
      <c r="A173" s="59"/>
      <c r="B173" s="60"/>
      <c r="C173" s="59"/>
      <c r="D173" s="59"/>
      <c r="E173" s="59"/>
      <c r="F173" s="59"/>
      <c r="G173" s="59"/>
      <c r="H173" s="59"/>
      <c r="I173" s="59"/>
    </row>
    <row r="174" spans="1:9">
      <c r="A174" s="59"/>
      <c r="B174" s="60"/>
      <c r="C174" s="59"/>
      <c r="D174" s="59"/>
      <c r="E174" s="59"/>
      <c r="F174" s="59"/>
      <c r="G174" s="59"/>
      <c r="H174" s="59"/>
      <c r="I174" s="59"/>
    </row>
    <row r="175" spans="1:9">
      <c r="A175" s="59"/>
      <c r="B175" s="60"/>
      <c r="C175" s="59"/>
      <c r="D175" s="59"/>
      <c r="E175" s="59"/>
      <c r="F175" s="59"/>
      <c r="G175" s="59"/>
      <c r="H175" s="59"/>
      <c r="I175" s="59"/>
    </row>
    <row r="176" spans="1:9">
      <c r="A176" s="59"/>
      <c r="B176" s="60"/>
      <c r="C176" s="59"/>
      <c r="D176" s="59"/>
      <c r="E176" s="59"/>
      <c r="F176" s="59"/>
      <c r="G176" s="59"/>
      <c r="H176" s="59"/>
      <c r="I176" s="59"/>
    </row>
    <row r="177" spans="1:9">
      <c r="A177" s="59"/>
      <c r="B177" s="60"/>
      <c r="C177" s="59"/>
      <c r="D177" s="59"/>
      <c r="E177" s="59"/>
      <c r="F177" s="59"/>
      <c r="G177" s="59"/>
      <c r="H177" s="59"/>
      <c r="I177" s="59"/>
    </row>
    <row r="178" spans="1:9">
      <c r="A178" s="59"/>
      <c r="B178" s="60"/>
      <c r="C178" s="59"/>
      <c r="D178" s="59"/>
      <c r="E178" s="59"/>
      <c r="F178" s="59"/>
      <c r="G178" s="59"/>
      <c r="H178" s="59"/>
      <c r="I178" s="59"/>
    </row>
    <row r="179" spans="1:9">
      <c r="A179" s="59"/>
      <c r="B179" s="60"/>
      <c r="C179" s="59"/>
      <c r="D179" s="59"/>
      <c r="E179" s="59"/>
      <c r="F179" s="59"/>
      <c r="G179" s="59"/>
      <c r="H179" s="59"/>
      <c r="I179" s="59"/>
    </row>
    <row r="180" spans="1:9">
      <c r="A180" s="59"/>
      <c r="B180" s="60"/>
      <c r="C180" s="59"/>
      <c r="D180" s="59"/>
      <c r="E180" s="59"/>
      <c r="F180" s="59"/>
      <c r="G180" s="59"/>
      <c r="H180" s="59"/>
      <c r="I180" s="59"/>
    </row>
  </sheetData>
  <mergeCells count="21">
    <mergeCell ref="A17:I17"/>
    <mergeCell ref="A18:I18"/>
    <mergeCell ref="A31:I31"/>
    <mergeCell ref="A96:I96"/>
    <mergeCell ref="A97:I97"/>
    <mergeCell ref="A112:I112"/>
    <mergeCell ref="A1:I1"/>
    <mergeCell ref="A2:I2"/>
    <mergeCell ref="A3:B3"/>
    <mergeCell ref="C9:I9"/>
    <mergeCell ref="C10:I10"/>
    <mergeCell ref="A102:I102"/>
    <mergeCell ref="A48:I48"/>
    <mergeCell ref="C4:G4"/>
    <mergeCell ref="A101:I101"/>
    <mergeCell ref="A109:I109"/>
    <mergeCell ref="A110:I110"/>
    <mergeCell ref="A11:I12"/>
    <mergeCell ref="A14:I14"/>
    <mergeCell ref="A39:I39"/>
    <mergeCell ref="A47:I47"/>
  </mergeCells>
  <phoneticPr fontId="57" type="noConversion"/>
  <conditionalFormatting sqref="A7">
    <cfRule type="cellIs" dxfId="10" priority="1" stopIfTrue="1" operator="equal">
      <formula>0</formula>
    </cfRule>
  </conditionalFormatting>
  <conditionalFormatting sqref="C4">
    <cfRule type="cellIs" dxfId="9" priority="2" stopIfTrue="1" operator="equal">
      <formula>0</formula>
    </cfRule>
  </conditionalFormatting>
  <conditionalFormatting sqref="C3:H3 A3:A4 A6:B6 D6:H6 C6:C7 C8:H8 B8:B9 C9:C10 A9:A11">
    <cfRule type="cellIs" dxfId="8" priority="3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portrait" horizontalDpi="360" verticalDpi="360" r:id="rId1"/>
  <headerFooter>
    <oddFooter>Página &amp;P de &amp;N</oddFoot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8:D31"/>
  <sheetViews>
    <sheetView view="pageBreakPreview" topLeftCell="A9" zoomScale="115" zoomScaleSheetLayoutView="115" workbookViewId="0">
      <selection activeCell="A29" sqref="A29:D31"/>
    </sheetView>
  </sheetViews>
  <sheetFormatPr defaultRowHeight="13.2"/>
  <cols>
    <col min="2" max="2" width="22.109375" bestFit="1" customWidth="1"/>
    <col min="3" max="3" width="12.6640625" customWidth="1"/>
    <col min="4" max="4" width="22.33203125" customWidth="1"/>
  </cols>
  <sheetData>
    <row r="8" spans="1:4" ht="27" customHeight="1" thickBot="1"/>
    <row r="9" spans="1:4" ht="24" thickBot="1">
      <c r="A9" s="188" t="s">
        <v>99</v>
      </c>
      <c r="B9" s="189"/>
      <c r="C9" s="189"/>
      <c r="D9" s="190"/>
    </row>
    <row r="10" spans="1:4" ht="15" thickBot="1">
      <c r="A10" s="191"/>
      <c r="B10" s="192"/>
      <c r="C10" s="192"/>
      <c r="D10" s="193"/>
    </row>
    <row r="11" spans="1:4" ht="32.25" customHeight="1" thickBot="1">
      <c r="A11" s="9" t="s">
        <v>19</v>
      </c>
      <c r="B11" s="194" t="s">
        <v>112</v>
      </c>
      <c r="C11" s="195"/>
      <c r="D11" s="196"/>
    </row>
    <row r="12" spans="1:4" ht="15" thickBot="1">
      <c r="A12" s="10" t="s">
        <v>20</v>
      </c>
      <c r="B12" s="197" t="s">
        <v>100</v>
      </c>
      <c r="C12" s="198"/>
      <c r="D12" s="199"/>
    </row>
    <row r="13" spans="1:4" ht="15" thickBot="1">
      <c r="A13" s="11"/>
      <c r="B13" s="12"/>
      <c r="C13" s="12"/>
      <c r="D13" s="13"/>
    </row>
    <row r="14" spans="1:4" ht="14.4">
      <c r="A14" s="14" t="s">
        <v>21</v>
      </c>
      <c r="B14" s="15" t="s">
        <v>22</v>
      </c>
      <c r="C14" s="16">
        <v>0.04</v>
      </c>
      <c r="D14" s="17" t="s">
        <v>37</v>
      </c>
    </row>
    <row r="15" spans="1:4" ht="14.4">
      <c r="A15" s="14" t="s">
        <v>3</v>
      </c>
      <c r="B15" s="15" t="s">
        <v>23</v>
      </c>
      <c r="C15" s="16">
        <v>8.0000000000000002E-3</v>
      </c>
      <c r="D15" s="17" t="s">
        <v>38</v>
      </c>
    </row>
    <row r="16" spans="1:4" ht="14.4">
      <c r="A16" s="14" t="s">
        <v>4</v>
      </c>
      <c r="B16" s="15" t="s">
        <v>24</v>
      </c>
      <c r="C16" s="16">
        <v>1.2699999999999999E-2</v>
      </c>
      <c r="D16" s="17" t="s">
        <v>39</v>
      </c>
    </row>
    <row r="17" spans="1:4" ht="14.4">
      <c r="A17" s="14" t="s">
        <v>13</v>
      </c>
      <c r="B17" s="15" t="s">
        <v>25</v>
      </c>
      <c r="C17" s="16">
        <v>7.3999999999999996E-2</v>
      </c>
      <c r="D17" s="17" t="s">
        <v>40</v>
      </c>
    </row>
    <row r="18" spans="1:4" ht="14.4">
      <c r="A18" s="14" t="s">
        <v>14</v>
      </c>
      <c r="B18" s="15" t="s">
        <v>26</v>
      </c>
      <c r="C18" s="16">
        <v>1.23E-2</v>
      </c>
      <c r="D18" s="17" t="s">
        <v>41</v>
      </c>
    </row>
    <row r="19" spans="1:4" ht="14.4">
      <c r="A19" s="14" t="s">
        <v>17</v>
      </c>
      <c r="B19" s="15" t="s">
        <v>27</v>
      </c>
      <c r="C19" s="16">
        <f>SUM(C20:C23)</f>
        <v>8.6500000000000007E-2</v>
      </c>
      <c r="D19" s="17" t="s">
        <v>18</v>
      </c>
    </row>
    <row r="20" spans="1:4" ht="14.4">
      <c r="A20" s="18" t="s">
        <v>28</v>
      </c>
      <c r="B20" s="15" t="s">
        <v>29</v>
      </c>
      <c r="C20" s="16">
        <v>0.05</v>
      </c>
      <c r="D20" s="17" t="s">
        <v>42</v>
      </c>
    </row>
    <row r="21" spans="1:4" ht="14.4">
      <c r="A21" s="18" t="s">
        <v>30</v>
      </c>
      <c r="B21" s="15" t="s">
        <v>31</v>
      </c>
      <c r="C21" s="16">
        <v>0.03</v>
      </c>
      <c r="D21" s="17" t="s">
        <v>43</v>
      </c>
    </row>
    <row r="22" spans="1:4" ht="14.4">
      <c r="A22" s="18" t="s">
        <v>32</v>
      </c>
      <c r="B22" s="15" t="s">
        <v>33</v>
      </c>
      <c r="C22" s="16">
        <v>6.4999999999999997E-3</v>
      </c>
      <c r="D22" s="17" t="s">
        <v>44</v>
      </c>
    </row>
    <row r="23" spans="1:4" ht="15" thickBot="1">
      <c r="A23" s="18" t="s">
        <v>34</v>
      </c>
      <c r="B23" s="15" t="s">
        <v>35</v>
      </c>
      <c r="C23" s="16">
        <v>0</v>
      </c>
      <c r="D23" s="17" t="s">
        <v>45</v>
      </c>
    </row>
    <row r="24" spans="1:4" ht="15" thickBot="1">
      <c r="A24" s="11"/>
      <c r="B24" s="12"/>
      <c r="C24" s="12"/>
      <c r="D24" s="19"/>
    </row>
    <row r="25" spans="1:4" ht="15" thickBot="1">
      <c r="A25" s="11"/>
      <c r="B25" s="20" t="s">
        <v>36</v>
      </c>
      <c r="C25" s="21">
        <f>((1+C14+C15+C16)*(1+C17)*(1+C18)/(1-C19)-1)</f>
        <v>0.26240159730706081</v>
      </c>
      <c r="D25" s="19"/>
    </row>
    <row r="26" spans="1:4" ht="14.4">
      <c r="A26" s="22"/>
      <c r="B26" s="23"/>
      <c r="C26" s="23"/>
      <c r="D26" s="24"/>
    </row>
    <row r="27" spans="1:4" ht="13.8">
      <c r="A27" s="25" t="s">
        <v>46</v>
      </c>
      <c r="B27" s="26"/>
      <c r="C27" s="26"/>
      <c r="D27" s="27"/>
    </row>
    <row r="28" spans="1:4" ht="13.8">
      <c r="A28" s="25"/>
      <c r="B28" s="26"/>
      <c r="C28" s="26"/>
      <c r="D28" s="27"/>
    </row>
    <row r="29" spans="1:4" ht="12.75" customHeight="1">
      <c r="A29" s="200" t="s">
        <v>130</v>
      </c>
      <c r="B29" s="201"/>
      <c r="C29" s="201"/>
      <c r="D29" s="202"/>
    </row>
    <row r="30" spans="1:4" ht="12.75" customHeight="1">
      <c r="A30" s="200"/>
      <c r="B30" s="201"/>
      <c r="C30" s="201"/>
      <c r="D30" s="202"/>
    </row>
    <row r="31" spans="1:4" ht="42.75" customHeight="1" thickBot="1">
      <c r="A31" s="203"/>
      <c r="B31" s="204"/>
      <c r="C31" s="204"/>
      <c r="D31" s="205"/>
    </row>
  </sheetData>
  <mergeCells count="5">
    <mergeCell ref="A9:D9"/>
    <mergeCell ref="A10:D10"/>
    <mergeCell ref="B11:D11"/>
    <mergeCell ref="B12:D12"/>
    <mergeCell ref="A29:D3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8:D31"/>
  <sheetViews>
    <sheetView view="pageBreakPreview" topLeftCell="A12" zoomScale="115" zoomScaleSheetLayoutView="115" workbookViewId="0">
      <selection activeCell="A29" sqref="A29:D31"/>
    </sheetView>
  </sheetViews>
  <sheetFormatPr defaultRowHeight="13.2"/>
  <cols>
    <col min="2" max="2" width="22.109375" bestFit="1" customWidth="1"/>
    <col min="3" max="3" width="12.6640625" customWidth="1"/>
    <col min="4" max="4" width="22.33203125" customWidth="1"/>
  </cols>
  <sheetData>
    <row r="8" spans="1:4" ht="27" customHeight="1" thickBot="1"/>
    <row r="9" spans="1:4" ht="24" thickBot="1">
      <c r="A9" s="188" t="s">
        <v>152</v>
      </c>
      <c r="B9" s="189"/>
      <c r="C9" s="189"/>
      <c r="D9" s="190"/>
    </row>
    <row r="10" spans="1:4" ht="15" thickBot="1">
      <c r="A10" s="191"/>
      <c r="B10" s="192"/>
      <c r="C10" s="192"/>
      <c r="D10" s="193"/>
    </row>
    <row r="11" spans="1:4" ht="32.25" customHeight="1" thickBot="1">
      <c r="A11" s="9" t="s">
        <v>19</v>
      </c>
      <c r="B11" s="194" t="s">
        <v>112</v>
      </c>
      <c r="C11" s="195"/>
      <c r="D11" s="196"/>
    </row>
    <row r="12" spans="1:4" ht="15" thickBot="1">
      <c r="A12" s="10" t="s">
        <v>20</v>
      </c>
      <c r="B12" s="197" t="s">
        <v>100</v>
      </c>
      <c r="C12" s="198"/>
      <c r="D12" s="199"/>
    </row>
    <row r="13" spans="1:4" ht="15" thickBot="1">
      <c r="A13" s="11"/>
      <c r="B13" s="12"/>
      <c r="C13" s="12"/>
      <c r="D13" s="13"/>
    </row>
    <row r="14" spans="1:4" ht="14.4">
      <c r="A14" s="14" t="s">
        <v>21</v>
      </c>
      <c r="B14" s="15" t="s">
        <v>22</v>
      </c>
      <c r="C14" s="16">
        <v>3.4500000000000003E-2</v>
      </c>
      <c r="D14" s="17" t="s">
        <v>37</v>
      </c>
    </row>
    <row r="15" spans="1:4" ht="14.4">
      <c r="A15" s="14" t="s">
        <v>3</v>
      </c>
      <c r="B15" s="15" t="s">
        <v>23</v>
      </c>
      <c r="C15" s="16">
        <v>4.7999999999999996E-3</v>
      </c>
      <c r="D15" s="17" t="s">
        <v>38</v>
      </c>
    </row>
    <row r="16" spans="1:4" ht="14.4">
      <c r="A16" s="14" t="s">
        <v>4</v>
      </c>
      <c r="B16" s="15" t="s">
        <v>24</v>
      </c>
      <c r="C16" s="16">
        <v>8.5000000000000006E-3</v>
      </c>
      <c r="D16" s="17" t="s">
        <v>39</v>
      </c>
    </row>
    <row r="17" spans="1:4" ht="14.4">
      <c r="A17" s="14" t="s">
        <v>13</v>
      </c>
      <c r="B17" s="15" t="s">
        <v>25</v>
      </c>
      <c r="C17" s="16">
        <v>5.11E-2</v>
      </c>
      <c r="D17" s="17" t="s">
        <v>40</v>
      </c>
    </row>
    <row r="18" spans="1:4" ht="14.4">
      <c r="A18" s="14" t="s">
        <v>14</v>
      </c>
      <c r="B18" s="15" t="s">
        <v>26</v>
      </c>
      <c r="C18" s="16">
        <v>8.5000000000000006E-3</v>
      </c>
      <c r="D18" s="17" t="s">
        <v>41</v>
      </c>
    </row>
    <row r="19" spans="1:4" ht="14.4">
      <c r="A19" s="14" t="s">
        <v>17</v>
      </c>
      <c r="B19" s="15" t="s">
        <v>27</v>
      </c>
      <c r="C19" s="16">
        <f>SUM(C20:C23)</f>
        <v>3.6499999999999998E-2</v>
      </c>
      <c r="D19" s="17" t="s">
        <v>18</v>
      </c>
    </row>
    <row r="20" spans="1:4" ht="14.4">
      <c r="A20" s="18" t="s">
        <v>28</v>
      </c>
      <c r="B20" s="15" t="s">
        <v>29</v>
      </c>
      <c r="C20" s="16">
        <v>0</v>
      </c>
      <c r="D20" s="17" t="s">
        <v>42</v>
      </c>
    </row>
    <row r="21" spans="1:4" ht="14.4">
      <c r="A21" s="18" t="s">
        <v>30</v>
      </c>
      <c r="B21" s="15" t="s">
        <v>31</v>
      </c>
      <c r="C21" s="16">
        <v>0.03</v>
      </c>
      <c r="D21" s="17" t="s">
        <v>43</v>
      </c>
    </row>
    <row r="22" spans="1:4" ht="14.4">
      <c r="A22" s="18" t="s">
        <v>32</v>
      </c>
      <c r="B22" s="15" t="s">
        <v>33</v>
      </c>
      <c r="C22" s="16">
        <v>6.4999999999999997E-3</v>
      </c>
      <c r="D22" s="17" t="s">
        <v>44</v>
      </c>
    </row>
    <row r="23" spans="1:4" ht="15" thickBot="1">
      <c r="A23" s="18" t="s">
        <v>34</v>
      </c>
      <c r="B23" s="15" t="s">
        <v>35</v>
      </c>
      <c r="C23" s="16">
        <v>0</v>
      </c>
      <c r="D23" s="17" t="s">
        <v>45</v>
      </c>
    </row>
    <row r="24" spans="1:4" ht="15" thickBot="1">
      <c r="A24" s="11"/>
      <c r="B24" s="12"/>
      <c r="C24" s="12"/>
      <c r="D24" s="19"/>
    </row>
    <row r="25" spans="1:4" ht="15" thickBot="1">
      <c r="A25" s="11"/>
      <c r="B25" s="20" t="s">
        <v>36</v>
      </c>
      <c r="C25" s="21">
        <f>((1+C14+C15+C16)*(1+C17)*(1+C18)/(1-C19)-1)</f>
        <v>0.15278047942916406</v>
      </c>
      <c r="D25" s="19"/>
    </row>
    <row r="26" spans="1:4" ht="14.4">
      <c r="A26" s="22"/>
      <c r="B26" s="23"/>
      <c r="C26" s="23"/>
      <c r="D26" s="24"/>
    </row>
    <row r="27" spans="1:4" ht="13.8">
      <c r="A27" s="25" t="s">
        <v>46</v>
      </c>
      <c r="B27" s="26"/>
      <c r="C27" s="26"/>
      <c r="D27" s="27"/>
    </row>
    <row r="28" spans="1:4" ht="13.8">
      <c r="A28" s="25"/>
      <c r="B28" s="26"/>
      <c r="C28" s="26"/>
      <c r="D28" s="27"/>
    </row>
    <row r="29" spans="1:4" ht="12.75" customHeight="1">
      <c r="A29" s="200"/>
      <c r="B29" s="201"/>
      <c r="C29" s="201"/>
      <c r="D29" s="202"/>
    </row>
    <row r="30" spans="1:4" ht="12.75" customHeight="1">
      <c r="A30" s="200"/>
      <c r="B30" s="201"/>
      <c r="C30" s="201"/>
      <c r="D30" s="202"/>
    </row>
    <row r="31" spans="1:4" ht="42.75" customHeight="1" thickBot="1">
      <c r="A31" s="203"/>
      <c r="B31" s="204"/>
      <c r="C31" s="204"/>
      <c r="D31" s="205"/>
    </row>
  </sheetData>
  <mergeCells count="5">
    <mergeCell ref="A9:D9"/>
    <mergeCell ref="A10:D10"/>
    <mergeCell ref="B11:D11"/>
    <mergeCell ref="B12:D12"/>
    <mergeCell ref="A29:D3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view="pageBreakPreview" topLeftCell="A34" zoomScale="85" zoomScaleSheetLayoutView="85" workbookViewId="0">
      <selection activeCell="A44" sqref="A44:G44"/>
    </sheetView>
  </sheetViews>
  <sheetFormatPr defaultRowHeight="13.2"/>
  <cols>
    <col min="1" max="1" width="9.109375" style="108"/>
    <col min="2" max="2" width="11.109375" customWidth="1"/>
    <col min="3" max="3" width="34.5546875" customWidth="1"/>
    <col min="4" max="4" width="32.44140625" bestFit="1" customWidth="1"/>
    <col min="5" max="5" width="9.6640625" customWidth="1"/>
    <col min="6" max="6" width="10.44140625" bestFit="1" customWidth="1"/>
    <col min="7" max="7" width="11.44140625" bestFit="1" customWidth="1"/>
    <col min="8" max="8" width="13.6640625" bestFit="1" customWidth="1"/>
    <col min="10" max="10" width="9.88671875" customWidth="1"/>
    <col min="11" max="11" width="21.44140625" bestFit="1" customWidth="1"/>
    <col min="12" max="12" width="7" bestFit="1" customWidth="1"/>
    <col min="13" max="13" width="8.6640625" bestFit="1" customWidth="1"/>
    <col min="14" max="14" width="8" bestFit="1" customWidth="1"/>
    <col min="15" max="15" width="10.44140625" bestFit="1" customWidth="1"/>
  </cols>
  <sheetData>
    <row r="1" spans="1:15">
      <c r="A1" s="76"/>
      <c r="B1" s="77"/>
      <c r="C1" s="77"/>
      <c r="D1" s="77"/>
      <c r="E1" s="77"/>
      <c r="F1" s="77"/>
      <c r="G1" s="78"/>
    </row>
    <row r="2" spans="1:15" ht="18.75" customHeight="1">
      <c r="A2" s="235" t="s">
        <v>58</v>
      </c>
      <c r="B2" s="166"/>
      <c r="C2" s="166"/>
      <c r="D2" s="166"/>
      <c r="E2" s="166"/>
      <c r="F2" s="166"/>
      <c r="G2" s="236"/>
      <c r="H2" s="62"/>
      <c r="I2" s="62"/>
      <c r="J2" s="62"/>
      <c r="K2" s="62"/>
      <c r="L2" s="62"/>
      <c r="M2" s="62"/>
      <c r="N2" s="62"/>
      <c r="O2" s="62"/>
    </row>
    <row r="3" spans="1:15" ht="19.5" customHeight="1">
      <c r="A3" s="235" t="s">
        <v>95</v>
      </c>
      <c r="B3" s="166"/>
      <c r="C3" s="166"/>
      <c r="D3" s="166"/>
      <c r="E3" s="166"/>
      <c r="F3" s="166"/>
      <c r="G3" s="236"/>
      <c r="H3" s="62"/>
      <c r="I3" s="62"/>
      <c r="J3" s="62"/>
      <c r="K3" s="79">
        <f>'BDI Geral'!C25</f>
        <v>0.26240159730706081</v>
      </c>
      <c r="L3" s="62"/>
      <c r="M3" s="62"/>
      <c r="N3" s="62"/>
      <c r="O3" s="62"/>
    </row>
    <row r="4" spans="1:15" ht="15" customHeight="1">
      <c r="A4" s="177" t="s">
        <v>59</v>
      </c>
      <c r="B4" s="168"/>
      <c r="C4" s="34"/>
      <c r="D4" s="35" t="s">
        <v>60</v>
      </c>
      <c r="F4" s="34"/>
      <c r="G4" s="80"/>
      <c r="H4" s="34"/>
      <c r="I4" s="34"/>
      <c r="J4" s="231"/>
      <c r="K4" s="231"/>
      <c r="L4" s="231"/>
      <c r="M4" s="231"/>
      <c r="N4" s="231"/>
      <c r="O4" s="231"/>
    </row>
    <row r="5" spans="1:15" ht="15" customHeight="1">
      <c r="A5" s="81"/>
      <c r="B5" s="38"/>
      <c r="C5" s="38"/>
      <c r="D5" s="39" t="s">
        <v>105</v>
      </c>
      <c r="E5" s="40"/>
      <c r="F5" s="40"/>
      <c r="G5" s="72"/>
      <c r="H5" s="72"/>
      <c r="I5" s="82"/>
      <c r="J5" s="82"/>
      <c r="K5" s="231"/>
      <c r="L5" s="231"/>
      <c r="M5" s="231"/>
      <c r="N5" s="231"/>
      <c r="O5" s="231"/>
    </row>
    <row r="6" spans="1:15" ht="15" customHeight="1">
      <c r="A6" s="83"/>
      <c r="C6" s="43"/>
      <c r="D6" s="44"/>
      <c r="F6" s="44"/>
      <c r="G6" s="75"/>
      <c r="K6" s="230"/>
      <c r="L6" s="230"/>
      <c r="M6" s="230"/>
      <c r="N6" s="230"/>
      <c r="O6" s="230"/>
    </row>
    <row r="7" spans="1:15" ht="15" customHeight="1">
      <c r="A7" s="47" t="s">
        <v>61</v>
      </c>
      <c r="B7" s="34"/>
      <c r="C7" s="34"/>
      <c r="D7" s="47" t="s">
        <v>62</v>
      </c>
      <c r="F7" s="34"/>
      <c r="G7" s="80"/>
      <c r="H7" s="34"/>
      <c r="I7" s="34"/>
      <c r="J7" s="34"/>
      <c r="K7" s="230"/>
      <c r="L7" s="230"/>
      <c r="M7" s="230"/>
      <c r="N7" s="230"/>
      <c r="O7" s="230"/>
    </row>
    <row r="8" spans="1:15" ht="15" customHeight="1">
      <c r="A8" s="37" t="s">
        <v>106</v>
      </c>
      <c r="B8" s="48"/>
      <c r="C8" s="48"/>
      <c r="D8" s="39" t="s">
        <v>58</v>
      </c>
      <c r="E8" s="40"/>
      <c r="F8" s="40"/>
      <c r="G8" s="72"/>
      <c r="H8" s="72"/>
      <c r="I8" s="82"/>
      <c r="J8" s="82"/>
      <c r="K8" s="231"/>
      <c r="L8" s="231"/>
      <c r="M8" s="231"/>
      <c r="N8" s="231"/>
      <c r="O8" s="231"/>
    </row>
    <row r="9" spans="1:15" ht="15" customHeight="1">
      <c r="A9" s="83"/>
      <c r="G9" s="84"/>
    </row>
    <row r="10" spans="1:15" ht="15" customHeight="1">
      <c r="A10" s="47" t="s">
        <v>84</v>
      </c>
      <c r="B10" s="34"/>
      <c r="C10" s="47" t="s">
        <v>63</v>
      </c>
      <c r="D10" s="49" t="s">
        <v>36</v>
      </c>
      <c r="E10" s="232" t="s">
        <v>65</v>
      </c>
      <c r="F10" s="231"/>
      <c r="G10" s="231"/>
      <c r="H10" s="231"/>
      <c r="L10" s="168"/>
      <c r="M10" s="168"/>
      <c r="N10" s="168"/>
      <c r="O10" s="168"/>
    </row>
    <row r="11" spans="1:15" ht="37.5" customHeight="1">
      <c r="A11" s="50"/>
      <c r="B11" s="40"/>
      <c r="C11" s="85" t="s">
        <v>96</v>
      </c>
      <c r="D11" s="73">
        <f>'BDI Geral'!C25</f>
        <v>0.26240159730706081</v>
      </c>
      <c r="E11" s="233" t="s">
        <v>150</v>
      </c>
      <c r="F11" s="234"/>
      <c r="G11" s="234"/>
      <c r="H11" s="234"/>
      <c r="I11" s="82"/>
      <c r="J11" s="82"/>
      <c r="K11" s="82"/>
      <c r="L11" s="86"/>
      <c r="M11" s="87"/>
      <c r="N11" s="87"/>
      <c r="O11" s="87"/>
    </row>
    <row r="12" spans="1:15" ht="15" customHeight="1">
      <c r="A12" s="226" t="s">
        <v>81</v>
      </c>
      <c r="B12" s="227"/>
      <c r="C12" s="227"/>
      <c r="D12" s="227"/>
      <c r="E12" s="227"/>
      <c r="F12" s="227"/>
      <c r="G12" s="227"/>
      <c r="H12" s="227"/>
      <c r="I12" s="88"/>
      <c r="J12" s="88"/>
      <c r="K12" s="88"/>
      <c r="L12" s="88"/>
      <c r="M12" s="88"/>
      <c r="N12" s="88"/>
      <c r="O12" s="88"/>
    </row>
    <row r="13" spans="1:15" ht="15" customHeight="1">
      <c r="A13" s="226"/>
      <c r="B13" s="227"/>
      <c r="C13" s="227"/>
      <c r="D13" s="227"/>
      <c r="E13" s="227"/>
      <c r="F13" s="227"/>
      <c r="G13" s="227"/>
      <c r="H13" s="227"/>
      <c r="I13" s="88"/>
      <c r="J13" s="88"/>
      <c r="K13" s="88"/>
      <c r="L13" s="88"/>
      <c r="M13" s="88"/>
      <c r="N13" s="88"/>
      <c r="O13" s="88"/>
    </row>
    <row r="14" spans="1:15" ht="15" customHeight="1">
      <c r="A14" s="228" t="s">
        <v>57</v>
      </c>
      <c r="B14" s="229"/>
      <c r="C14" s="229"/>
      <c r="D14" s="229"/>
      <c r="E14" s="229"/>
      <c r="F14" s="229"/>
      <c r="G14" s="229"/>
      <c r="H14" s="229"/>
    </row>
    <row r="15" spans="1:15" ht="38.25" customHeight="1">
      <c r="A15" s="220" t="s">
        <v>123</v>
      </c>
      <c r="B15" s="221"/>
      <c r="C15" s="221"/>
      <c r="D15" s="221"/>
      <c r="E15" s="221"/>
      <c r="F15" s="221"/>
      <c r="G15" s="221"/>
      <c r="H15" s="222"/>
    </row>
    <row r="16" spans="1:15" ht="31.5" customHeight="1">
      <c r="A16" s="223" t="s">
        <v>47</v>
      </c>
      <c r="B16" s="223"/>
      <c r="C16" s="223"/>
      <c r="D16" s="223"/>
      <c r="E16" s="89" t="s">
        <v>48</v>
      </c>
      <c r="F16" s="89" t="s">
        <v>49</v>
      </c>
      <c r="G16" s="89" t="s">
        <v>50</v>
      </c>
      <c r="H16" s="89" t="s">
        <v>51</v>
      </c>
    </row>
    <row r="17" spans="1:8">
      <c r="A17" s="217" t="s">
        <v>52</v>
      </c>
      <c r="B17" s="217"/>
      <c r="C17" s="217"/>
      <c r="D17" s="217"/>
      <c r="E17" s="90"/>
      <c r="F17" s="90"/>
      <c r="G17" s="90"/>
      <c r="H17" s="91"/>
    </row>
    <row r="18" spans="1:8">
      <c r="A18" s="92">
        <v>88316</v>
      </c>
      <c r="B18" s="93" t="s">
        <v>15</v>
      </c>
      <c r="C18" s="218" t="s">
        <v>53</v>
      </c>
      <c r="D18" s="219"/>
      <c r="E18" s="94" t="s">
        <v>86</v>
      </c>
      <c r="F18" s="95">
        <v>7.4999999999999997E-3</v>
      </c>
      <c r="G18" s="96">
        <v>21.28</v>
      </c>
      <c r="H18" s="96">
        <f>TRUNC(F18*G18,2)</f>
        <v>0.15</v>
      </c>
    </row>
    <row r="19" spans="1:8">
      <c r="A19" s="92">
        <v>90781</v>
      </c>
      <c r="B19" s="93" t="s">
        <v>15</v>
      </c>
      <c r="C19" s="218" t="s">
        <v>109</v>
      </c>
      <c r="D19" s="219"/>
      <c r="E19" s="94" t="s">
        <v>86</v>
      </c>
      <c r="F19" s="95">
        <v>2.5000000000000001E-3</v>
      </c>
      <c r="G19" s="96">
        <v>29.92</v>
      </c>
      <c r="H19" s="96">
        <f>TRUNC(F19*G19,2)</f>
        <v>7.0000000000000007E-2</v>
      </c>
    </row>
    <row r="20" spans="1:8">
      <c r="A20" s="92">
        <v>88253</v>
      </c>
      <c r="B20" s="93" t="s">
        <v>15</v>
      </c>
      <c r="C20" s="218" t="s">
        <v>107</v>
      </c>
      <c r="D20" s="219"/>
      <c r="E20" s="94" t="s">
        <v>86</v>
      </c>
      <c r="F20" s="95">
        <v>2.5000000000000001E-3</v>
      </c>
      <c r="G20" s="96">
        <v>14.48</v>
      </c>
      <c r="H20" s="96">
        <f>TRUNC(F20*G20,2)</f>
        <v>0.03</v>
      </c>
    </row>
    <row r="21" spans="1:8">
      <c r="A21" s="92">
        <v>88597</v>
      </c>
      <c r="B21" s="93" t="s">
        <v>15</v>
      </c>
      <c r="C21" s="218" t="s">
        <v>108</v>
      </c>
      <c r="D21" s="219"/>
      <c r="E21" s="94" t="s">
        <v>86</v>
      </c>
      <c r="F21" s="95">
        <v>2E-3</v>
      </c>
      <c r="G21" s="96">
        <v>31.42</v>
      </c>
      <c r="H21" s="96">
        <f>TRUNC(F21*G21,2)</f>
        <v>0.06</v>
      </c>
    </row>
    <row r="22" spans="1:8">
      <c r="A22" s="97"/>
      <c r="B22" s="98"/>
      <c r="C22" s="224"/>
      <c r="D22" s="225"/>
      <c r="E22" s="99"/>
      <c r="F22" s="99"/>
      <c r="G22" s="100" t="s">
        <v>54</v>
      </c>
      <c r="H22" s="96">
        <f>SUM(H18:H21)</f>
        <v>0.31</v>
      </c>
    </row>
    <row r="23" spans="1:8">
      <c r="A23" s="216" t="s">
        <v>87</v>
      </c>
      <c r="B23" s="217"/>
      <c r="C23" s="217"/>
      <c r="D23" s="217"/>
      <c r="E23" s="90"/>
      <c r="F23" s="90"/>
      <c r="G23" s="90"/>
      <c r="H23" s="91"/>
    </row>
    <row r="24" spans="1:8" ht="27" customHeight="1">
      <c r="A24" s="92">
        <v>92145</v>
      </c>
      <c r="B24" s="93" t="s">
        <v>15</v>
      </c>
      <c r="C24" s="218" t="s">
        <v>110</v>
      </c>
      <c r="D24" s="219"/>
      <c r="E24" s="94" t="s">
        <v>102</v>
      </c>
      <c r="F24" s="95">
        <v>2E-3</v>
      </c>
      <c r="G24" s="101">
        <v>71.38</v>
      </c>
      <c r="H24" s="96">
        <f t="shared" ref="H24" si="0">TRUNC(F24*G24,2)</f>
        <v>0.14000000000000001</v>
      </c>
    </row>
    <row r="25" spans="1:8">
      <c r="A25" s="102"/>
      <c r="B25" s="103"/>
      <c r="C25" s="208"/>
      <c r="D25" s="209"/>
      <c r="E25" s="104"/>
      <c r="F25" s="104"/>
      <c r="G25" s="105" t="s">
        <v>54</v>
      </c>
      <c r="H25" s="28">
        <f>SUM(H24:H24)</f>
        <v>0.14000000000000001</v>
      </c>
    </row>
    <row r="26" spans="1:8">
      <c r="A26" s="210" t="s">
        <v>55</v>
      </c>
      <c r="B26" s="211"/>
      <c r="C26" s="211"/>
      <c r="D26" s="211"/>
      <c r="E26" s="211"/>
      <c r="F26" s="211"/>
      <c r="G26" s="212"/>
      <c r="H26" s="106">
        <f>H25+H22</f>
        <v>0.45</v>
      </c>
    </row>
    <row r="27" spans="1:8">
      <c r="A27" s="210" t="s">
        <v>56</v>
      </c>
      <c r="B27" s="211"/>
      <c r="C27" s="211"/>
      <c r="D27" s="211"/>
      <c r="E27" s="211"/>
      <c r="F27" s="211"/>
      <c r="G27" s="212"/>
      <c r="H27" s="106">
        <f>H26</f>
        <v>0.45</v>
      </c>
    </row>
    <row r="28" spans="1:8" ht="15" customHeight="1">
      <c r="A28" s="210" t="s">
        <v>157</v>
      </c>
      <c r="B28" s="211"/>
      <c r="C28" s="211"/>
      <c r="D28" s="211"/>
      <c r="E28" s="211"/>
      <c r="F28" s="211"/>
      <c r="G28" s="212"/>
      <c r="H28" s="106">
        <f>H27*$K$3</f>
        <v>0.11808071878817737</v>
      </c>
    </row>
    <row r="29" spans="1:8">
      <c r="A29" s="213" t="s">
        <v>88</v>
      </c>
      <c r="B29" s="214"/>
      <c r="C29" s="214"/>
      <c r="D29" s="214"/>
      <c r="E29" s="214"/>
      <c r="F29" s="214"/>
      <c r="G29" s="215"/>
      <c r="H29" s="107">
        <f>H28+H27</f>
        <v>0.56808071878817734</v>
      </c>
    </row>
    <row r="30" spans="1:8">
      <c r="A30" s="206"/>
      <c r="B30" s="207"/>
      <c r="C30" s="207"/>
      <c r="D30" s="207"/>
      <c r="E30" s="207"/>
      <c r="F30" s="207"/>
      <c r="G30" s="207"/>
      <c r="H30" s="207"/>
    </row>
    <row r="31" spans="1:8" ht="15" customHeight="1">
      <c r="A31" s="228" t="s">
        <v>101</v>
      </c>
      <c r="B31" s="229"/>
      <c r="C31" s="229"/>
      <c r="D31" s="229"/>
      <c r="E31" s="229"/>
      <c r="F31" s="229"/>
      <c r="G31" s="229"/>
      <c r="H31" s="229"/>
    </row>
    <row r="32" spans="1:8" ht="38.25" customHeight="1">
      <c r="A32" s="220" t="s">
        <v>124</v>
      </c>
      <c r="B32" s="221"/>
      <c r="C32" s="221"/>
      <c r="D32" s="221"/>
      <c r="E32" s="221"/>
      <c r="F32" s="221"/>
      <c r="G32" s="221"/>
      <c r="H32" s="222"/>
    </row>
    <row r="33" spans="1:13" ht="31.5" customHeight="1">
      <c r="A33" s="223" t="s">
        <v>47</v>
      </c>
      <c r="B33" s="223"/>
      <c r="C33" s="223"/>
      <c r="D33" s="223"/>
      <c r="E33" s="89" t="s">
        <v>48</v>
      </c>
      <c r="F33" s="89" t="s">
        <v>49</v>
      </c>
      <c r="G33" s="89" t="s">
        <v>50</v>
      </c>
      <c r="H33" s="89" t="s">
        <v>51</v>
      </c>
    </row>
    <row r="34" spans="1:13">
      <c r="A34" s="217" t="s">
        <v>52</v>
      </c>
      <c r="B34" s="217"/>
      <c r="C34" s="217"/>
      <c r="D34" s="217"/>
      <c r="E34" s="90"/>
      <c r="F34" s="90"/>
      <c r="G34" s="90"/>
      <c r="H34" s="91"/>
    </row>
    <row r="35" spans="1:13">
      <c r="A35" s="92">
        <v>88316</v>
      </c>
      <c r="B35" s="93" t="s">
        <v>15</v>
      </c>
      <c r="C35" s="218" t="s">
        <v>53</v>
      </c>
      <c r="D35" s="219"/>
      <c r="E35" s="94" t="s">
        <v>86</v>
      </c>
      <c r="F35" s="95">
        <v>0.1</v>
      </c>
      <c r="G35" s="96">
        <v>21.28</v>
      </c>
      <c r="H35" s="96">
        <f>TRUNC(F35*G35,2)</f>
        <v>2.12</v>
      </c>
    </row>
    <row r="36" spans="1:13">
      <c r="A36" s="97"/>
      <c r="B36" s="98"/>
      <c r="C36" s="224"/>
      <c r="D36" s="225"/>
      <c r="E36" s="99"/>
      <c r="F36" s="99"/>
      <c r="G36" s="100" t="s">
        <v>54</v>
      </c>
      <c r="H36" s="28">
        <f>SUM(H35:H35)</f>
        <v>2.12</v>
      </c>
    </row>
    <row r="37" spans="1:13">
      <c r="A37" s="216" t="s">
        <v>87</v>
      </c>
      <c r="B37" s="217"/>
      <c r="C37" s="217"/>
      <c r="D37" s="217"/>
      <c r="E37" s="90"/>
      <c r="F37" s="90"/>
      <c r="G37" s="90"/>
      <c r="H37" s="91"/>
    </row>
    <row r="38" spans="1:13" ht="27" customHeight="1">
      <c r="A38" s="92">
        <v>9838</v>
      </c>
      <c r="B38" s="93" t="s">
        <v>15</v>
      </c>
      <c r="C38" s="218" t="s">
        <v>125</v>
      </c>
      <c r="D38" s="219"/>
      <c r="E38" s="94" t="s">
        <v>1</v>
      </c>
      <c r="F38" s="95">
        <v>1.1499999999999999</v>
      </c>
      <c r="G38" s="101">
        <v>11.9</v>
      </c>
      <c r="H38" s="96">
        <f t="shared" ref="H38:H40" si="1">TRUNC(F38*G38,2)</f>
        <v>13.68</v>
      </c>
      <c r="L38">
        <f>15/0.9</f>
        <v>16.666666666666668</v>
      </c>
      <c r="M38">
        <f>3.14*(0.025*0.025)*1</f>
        <v>1.9625000000000003E-3</v>
      </c>
    </row>
    <row r="39" spans="1:13" ht="42" customHeight="1">
      <c r="A39" s="92">
        <v>43650</v>
      </c>
      <c r="B39" s="93" t="s">
        <v>15</v>
      </c>
      <c r="C39" s="218" t="s">
        <v>126</v>
      </c>
      <c r="D39" s="219"/>
      <c r="E39" s="94" t="s">
        <v>40</v>
      </c>
      <c r="F39" s="95">
        <v>0.5</v>
      </c>
      <c r="G39" s="101">
        <v>39.24</v>
      </c>
      <c r="H39" s="96">
        <f t="shared" si="1"/>
        <v>19.62</v>
      </c>
      <c r="L39">
        <f>L38*0.15</f>
        <v>2.5</v>
      </c>
    </row>
    <row r="40" spans="1:13" ht="48.75" customHeight="1">
      <c r="A40" s="92">
        <v>94975</v>
      </c>
      <c r="B40" s="93" t="s">
        <v>15</v>
      </c>
      <c r="C40" s="218" t="s">
        <v>127</v>
      </c>
      <c r="D40" s="219"/>
      <c r="E40" s="94" t="s">
        <v>12</v>
      </c>
      <c r="F40" s="95">
        <v>2E-3</v>
      </c>
      <c r="G40" s="101">
        <v>494.56</v>
      </c>
      <c r="H40" s="96">
        <f t="shared" si="1"/>
        <v>0.98</v>
      </c>
    </row>
    <row r="41" spans="1:13">
      <c r="A41" s="102"/>
      <c r="B41" s="103"/>
      <c r="C41" s="208"/>
      <c r="D41" s="209"/>
      <c r="E41" s="104"/>
      <c r="F41" s="104"/>
      <c r="G41" s="105" t="s">
        <v>54</v>
      </c>
      <c r="H41" s="28">
        <f>SUM(H38:H40)</f>
        <v>34.279999999999994</v>
      </c>
    </row>
    <row r="42" spans="1:13">
      <c r="A42" s="210" t="s">
        <v>55</v>
      </c>
      <c r="B42" s="211"/>
      <c r="C42" s="211"/>
      <c r="D42" s="211"/>
      <c r="E42" s="211"/>
      <c r="F42" s="211"/>
      <c r="G42" s="212"/>
      <c r="H42" s="106">
        <f>H41+H36</f>
        <v>36.399999999999991</v>
      </c>
    </row>
    <row r="43" spans="1:13">
      <c r="A43" s="210" t="s">
        <v>56</v>
      </c>
      <c r="B43" s="211"/>
      <c r="C43" s="211"/>
      <c r="D43" s="211"/>
      <c r="E43" s="211"/>
      <c r="F43" s="211"/>
      <c r="G43" s="212"/>
      <c r="H43" s="106">
        <f>H42</f>
        <v>36.399999999999991</v>
      </c>
    </row>
    <row r="44" spans="1:13" ht="15" customHeight="1">
      <c r="A44" s="210" t="s">
        <v>157</v>
      </c>
      <c r="B44" s="211"/>
      <c r="C44" s="211"/>
      <c r="D44" s="211"/>
      <c r="E44" s="211"/>
      <c r="F44" s="211"/>
      <c r="G44" s="212"/>
      <c r="H44" s="106">
        <f>H43*$K$3</f>
        <v>9.5514181419770114</v>
      </c>
    </row>
    <row r="45" spans="1:13">
      <c r="A45" s="213" t="s">
        <v>88</v>
      </c>
      <c r="B45" s="214"/>
      <c r="C45" s="214"/>
      <c r="D45" s="214"/>
      <c r="E45" s="214"/>
      <c r="F45" s="214"/>
      <c r="G45" s="215"/>
      <c r="H45" s="107">
        <f>H44+H43</f>
        <v>45.951418141977001</v>
      </c>
    </row>
  </sheetData>
  <mergeCells count="43">
    <mergeCell ref="A42:G42"/>
    <mergeCell ref="A43:G43"/>
    <mergeCell ref="A44:G44"/>
    <mergeCell ref="A45:G45"/>
    <mergeCell ref="C41:D41"/>
    <mergeCell ref="C36:D36"/>
    <mergeCell ref="A37:D37"/>
    <mergeCell ref="C38:D38"/>
    <mergeCell ref="C39:D39"/>
    <mergeCell ref="C40:D40"/>
    <mergeCell ref="A31:H31"/>
    <mergeCell ref="A32:H32"/>
    <mergeCell ref="A33:D33"/>
    <mergeCell ref="A34:D34"/>
    <mergeCell ref="C35:D35"/>
    <mergeCell ref="A2:G2"/>
    <mergeCell ref="A3:G3"/>
    <mergeCell ref="A4:B4"/>
    <mergeCell ref="J4:O4"/>
    <mergeCell ref="K5:O5"/>
    <mergeCell ref="A12:H13"/>
    <mergeCell ref="A14:H14"/>
    <mergeCell ref="K6:O7"/>
    <mergeCell ref="K8:O8"/>
    <mergeCell ref="L10:O10"/>
    <mergeCell ref="E10:H10"/>
    <mergeCell ref="E11:H11"/>
    <mergeCell ref="A15:H15"/>
    <mergeCell ref="A16:D16"/>
    <mergeCell ref="A17:D17"/>
    <mergeCell ref="C18:D18"/>
    <mergeCell ref="C22:D22"/>
    <mergeCell ref="A23:D23"/>
    <mergeCell ref="C24:D24"/>
    <mergeCell ref="C19:D19"/>
    <mergeCell ref="C20:D20"/>
    <mergeCell ref="C21:D21"/>
    <mergeCell ref="A30:H30"/>
    <mergeCell ref="C25:D25"/>
    <mergeCell ref="A26:G26"/>
    <mergeCell ref="A27:G27"/>
    <mergeCell ref="A28:G28"/>
    <mergeCell ref="A29:G29"/>
  </mergeCells>
  <conditionalFormatting sqref="A8">
    <cfRule type="cellIs" dxfId="7" priority="1" stopIfTrue="1" operator="equal">
      <formula>0</formula>
    </cfRule>
  </conditionalFormatting>
  <conditionalFormatting sqref="C4:D4 F4:J4 A4:A5 A7:D7 F7:J7 B10:D10 A10:A11">
    <cfRule type="cellIs" dxfId="6" priority="8" stopIfTrue="1" operator="equal">
      <formula>0</formula>
    </cfRule>
  </conditionalFormatting>
  <conditionalFormatting sqref="C11:D11">
    <cfRule type="cellIs" dxfId="5" priority="6" stopIfTrue="1" operator="equal">
      <formula>0</formula>
    </cfRule>
  </conditionalFormatting>
  <conditionalFormatting sqref="D5">
    <cfRule type="cellIs" dxfId="4" priority="2" stopIfTrue="1" operator="equal">
      <formula>0</formula>
    </cfRule>
  </conditionalFormatting>
  <conditionalFormatting sqref="D8">
    <cfRule type="cellIs" dxfId="3" priority="3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1" fitToHeight="0" orientation="portrait" horizontalDpi="360" verticalDpi="360" r:id="rId1"/>
  <headerFooter>
    <oddFooter>Página &amp;P de &amp;N</oddFooter>
  </headerFooter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view="pageBreakPreview" zoomScale="85" zoomScaleNormal="80" zoomScaleSheetLayoutView="85" workbookViewId="0">
      <selection activeCell="J36" sqref="J36"/>
    </sheetView>
  </sheetViews>
  <sheetFormatPr defaultRowHeight="13.2"/>
  <cols>
    <col min="1" max="1" width="32.109375" bestFit="1" customWidth="1"/>
    <col min="2" max="2" width="60.88671875" customWidth="1"/>
    <col min="3" max="3" width="14.33203125" bestFit="1" customWidth="1"/>
    <col min="4" max="4" width="15" customWidth="1"/>
    <col min="5" max="5" width="22.88671875" customWidth="1"/>
    <col min="6" max="6" width="22.33203125" customWidth="1"/>
    <col min="7" max="7" width="22.88671875" customWidth="1"/>
    <col min="8" max="9" width="22.33203125" customWidth="1"/>
    <col min="10" max="10" width="22.88671875" customWidth="1"/>
    <col min="11" max="11" width="22.33203125" customWidth="1"/>
  </cols>
  <sheetData>
    <row r="1" spans="1:11" ht="15" customHeight="1">
      <c r="A1" s="165" t="s">
        <v>58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5" customHeight="1">
      <c r="A2" s="165" t="s">
        <v>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5" customHeight="1">
      <c r="A3" s="109" t="s">
        <v>59</v>
      </c>
      <c r="C3" s="35"/>
      <c r="D3" s="34"/>
    </row>
    <row r="4" spans="1:11">
      <c r="A4" s="240"/>
      <c r="B4" s="241"/>
      <c r="C4" s="39"/>
      <c r="D4" s="40"/>
      <c r="E4" s="40"/>
      <c r="F4" s="40"/>
      <c r="G4" s="40"/>
      <c r="H4" s="40"/>
      <c r="I4" s="40"/>
      <c r="J4" s="40"/>
      <c r="K4" s="40"/>
    </row>
    <row r="5" spans="1:11" ht="6" customHeight="1">
      <c r="A5" s="42"/>
      <c r="B5" s="44"/>
      <c r="C5" s="44"/>
      <c r="D5" s="44"/>
    </row>
    <row r="6" spans="1:11">
      <c r="A6" s="46" t="s">
        <v>61</v>
      </c>
      <c r="B6" s="47" t="s">
        <v>62</v>
      </c>
      <c r="C6" s="35" t="s">
        <v>60</v>
      </c>
      <c r="D6" s="34"/>
    </row>
    <row r="7" spans="1:11">
      <c r="A7" s="37" t="s">
        <v>106</v>
      </c>
      <c r="B7" s="39" t="s">
        <v>58</v>
      </c>
      <c r="C7" s="39" t="s">
        <v>105</v>
      </c>
      <c r="D7" s="40"/>
      <c r="E7" s="40"/>
      <c r="F7" s="40"/>
      <c r="G7" s="40"/>
      <c r="H7" s="40"/>
      <c r="I7" s="40"/>
      <c r="J7" s="40"/>
      <c r="K7" s="40"/>
    </row>
    <row r="8" spans="1:11">
      <c r="A8" s="42"/>
      <c r="B8" s="34"/>
      <c r="C8" s="34"/>
      <c r="D8" s="34"/>
    </row>
    <row r="9" spans="1:11">
      <c r="A9" s="46" t="s">
        <v>84</v>
      </c>
      <c r="B9" s="49" t="s">
        <v>63</v>
      </c>
      <c r="C9" s="82"/>
      <c r="D9" s="82"/>
    </row>
    <row r="10" spans="1:11">
      <c r="A10" s="51"/>
      <c r="B10" s="50" t="s">
        <v>96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5" customHeight="1">
      <c r="A11" s="244" t="s">
        <v>82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</row>
    <row r="12" spans="1:11" ht="9.75" customHeight="1">
      <c r="A12" s="246"/>
      <c r="B12" s="247"/>
      <c r="C12" s="247"/>
      <c r="D12" s="247"/>
      <c r="E12" s="247"/>
      <c r="F12" s="247"/>
      <c r="G12" s="247"/>
      <c r="H12" s="247"/>
      <c r="I12" s="247"/>
      <c r="J12" s="247"/>
      <c r="K12" s="247"/>
    </row>
    <row r="13" spans="1:11" ht="5.25" customHeight="1">
      <c r="A13" s="246"/>
      <c r="B13" s="247"/>
      <c r="C13" s="247"/>
      <c r="D13" s="247"/>
      <c r="E13" s="247"/>
      <c r="F13" s="247"/>
      <c r="G13" s="247"/>
      <c r="H13" s="247"/>
      <c r="I13" s="247"/>
      <c r="J13" s="247"/>
      <c r="K13" s="247"/>
    </row>
    <row r="14" spans="1:11" ht="18.75" customHeight="1" thickBot="1">
      <c r="A14" s="110"/>
      <c r="B14" s="110"/>
      <c r="C14" s="110"/>
      <c r="D14" s="110"/>
      <c r="E14" s="248" t="s">
        <v>83</v>
      </c>
      <c r="F14" s="249"/>
      <c r="G14" s="249"/>
      <c r="H14" s="249"/>
      <c r="I14" s="249"/>
      <c r="J14" s="249"/>
      <c r="K14" s="249"/>
    </row>
    <row r="15" spans="1:11" s="114" customFormat="1">
      <c r="A15" s="111" t="s">
        <v>0</v>
      </c>
      <c r="B15" s="112" t="s">
        <v>89</v>
      </c>
      <c r="C15" s="113" t="s">
        <v>90</v>
      </c>
      <c r="D15" s="112" t="s">
        <v>91</v>
      </c>
      <c r="E15" s="112">
        <v>1</v>
      </c>
      <c r="F15" s="112">
        <v>2</v>
      </c>
      <c r="G15" s="112">
        <v>3</v>
      </c>
      <c r="H15" s="112">
        <v>4</v>
      </c>
      <c r="I15" s="112">
        <v>5</v>
      </c>
      <c r="J15" s="112">
        <v>6</v>
      </c>
      <c r="K15" s="112">
        <v>7</v>
      </c>
    </row>
    <row r="16" spans="1:11" s="114" customFormat="1">
      <c r="A16" s="115"/>
      <c r="B16" s="116"/>
      <c r="C16" s="117"/>
      <c r="D16" s="118"/>
      <c r="E16" s="118"/>
      <c r="F16" s="118"/>
      <c r="G16" s="118"/>
      <c r="H16" s="118"/>
      <c r="I16" s="118"/>
      <c r="J16" s="118"/>
      <c r="K16" s="118"/>
    </row>
    <row r="17" spans="1:11" s="114" customFormat="1">
      <c r="A17" s="119">
        <v>1</v>
      </c>
      <c r="B17" s="120" t="s">
        <v>131</v>
      </c>
      <c r="C17" s="121">
        <f>'Planilha Orçamentária'!I14</f>
        <v>2925.54</v>
      </c>
      <c r="D17" s="122">
        <f>C17/$C$30</f>
        <v>1.8873325666822962E-3</v>
      </c>
      <c r="E17" s="123">
        <v>1</v>
      </c>
      <c r="F17" s="123"/>
      <c r="G17" s="123"/>
      <c r="H17" s="123"/>
      <c r="I17" s="123"/>
      <c r="J17" s="123"/>
      <c r="K17" s="123"/>
    </row>
    <row r="18" spans="1:11" s="114" customFormat="1">
      <c r="A18" s="119"/>
      <c r="B18" s="118"/>
      <c r="C18" s="121"/>
      <c r="D18" s="122"/>
      <c r="E18" s="124">
        <f>$C$17*E17</f>
        <v>2925.54</v>
      </c>
      <c r="F18" s="124"/>
      <c r="G18" s="124"/>
      <c r="H18" s="124"/>
      <c r="I18" s="124"/>
      <c r="J18" s="124"/>
      <c r="K18" s="124"/>
    </row>
    <row r="19" spans="1:11" s="114" customFormat="1">
      <c r="A19" s="119">
        <v>2</v>
      </c>
      <c r="B19" s="118" t="s">
        <v>132</v>
      </c>
      <c r="C19" s="121">
        <f>'Planilha Orçamentária'!I18</f>
        <v>151913.43</v>
      </c>
      <c r="D19" s="122">
        <f>C19/$C$30</f>
        <v>9.8002817857698515E-2</v>
      </c>
      <c r="E19" s="123">
        <v>0.5</v>
      </c>
      <c r="F19" s="123">
        <v>0.5</v>
      </c>
      <c r="G19" s="123"/>
      <c r="H19" s="123"/>
      <c r="I19" s="123"/>
      <c r="J19" s="123"/>
      <c r="K19" s="123"/>
    </row>
    <row r="20" spans="1:11" s="114" customFormat="1">
      <c r="A20" s="119"/>
      <c r="B20" s="118"/>
      <c r="C20" s="121"/>
      <c r="D20" s="122"/>
      <c r="E20" s="124">
        <f>$C19*E19</f>
        <v>75956.714999999997</v>
      </c>
      <c r="F20" s="124">
        <f t="shared" ref="F20" si="0">$C19*F19</f>
        <v>75956.714999999997</v>
      </c>
      <c r="G20" s="124"/>
      <c r="H20" s="124"/>
      <c r="I20" s="124">
        <f t="shared" ref="I20" si="1">$C19*I19</f>
        <v>0</v>
      </c>
      <c r="J20" s="124"/>
      <c r="K20" s="124"/>
    </row>
    <row r="21" spans="1:11" s="114" customFormat="1">
      <c r="A21" s="119">
        <v>3</v>
      </c>
      <c r="B21" s="118" t="s">
        <v>133</v>
      </c>
      <c r="C21" s="121">
        <f>'Planilha Orçamentária'!I24</f>
        <v>1075871.52</v>
      </c>
      <c r="D21" s="122">
        <f>C21/$C$30</f>
        <v>0.69406925123634722</v>
      </c>
      <c r="E21" s="123"/>
      <c r="F21" s="123">
        <v>0.1</v>
      </c>
      <c r="G21" s="123">
        <v>0.1</v>
      </c>
      <c r="H21" s="123">
        <v>0.1</v>
      </c>
      <c r="I21" s="123">
        <v>0.3</v>
      </c>
      <c r="J21" s="123">
        <v>0.2</v>
      </c>
      <c r="K21" s="123">
        <v>0.2</v>
      </c>
    </row>
    <row r="22" spans="1:11" s="114" customFormat="1">
      <c r="A22" s="119"/>
      <c r="B22" s="118"/>
      <c r="C22" s="121"/>
      <c r="D22" s="122"/>
      <c r="E22" s="124"/>
      <c r="F22" s="124">
        <f t="shared" ref="F22" si="2">$C21*F21</f>
        <v>107587.152</v>
      </c>
      <c r="G22" s="124">
        <f>$C21*G21</f>
        <v>107587.152</v>
      </c>
      <c r="H22" s="124">
        <f t="shared" ref="H22:I22" si="3">$C21*H21</f>
        <v>107587.152</v>
      </c>
      <c r="I22" s="124">
        <f t="shared" si="3"/>
        <v>322761.45600000001</v>
      </c>
      <c r="J22" s="124">
        <f>$C21*J21</f>
        <v>215174.304</v>
      </c>
      <c r="K22" s="124">
        <f t="shared" ref="K22" si="4">$C21*K21</f>
        <v>215174.304</v>
      </c>
    </row>
    <row r="23" spans="1:11" s="114" customFormat="1">
      <c r="A23" s="119">
        <v>4</v>
      </c>
      <c r="B23" s="118" t="s">
        <v>134</v>
      </c>
      <c r="C23" s="121">
        <f>'Planilha Orçamentária'!I28</f>
        <v>184206.72</v>
      </c>
      <c r="D23" s="122">
        <f>C23/$C$30</f>
        <v>0.11883595563818203</v>
      </c>
      <c r="E23" s="123"/>
      <c r="F23" s="123">
        <v>0.1</v>
      </c>
      <c r="G23" s="123">
        <v>0.1</v>
      </c>
      <c r="H23" s="123">
        <v>0.1</v>
      </c>
      <c r="I23" s="123">
        <v>0.3</v>
      </c>
      <c r="J23" s="123">
        <v>0.2</v>
      </c>
      <c r="K23" s="123">
        <v>0.2</v>
      </c>
    </row>
    <row r="24" spans="1:11" s="114" customFormat="1">
      <c r="A24" s="119"/>
      <c r="B24" s="118"/>
      <c r="C24" s="121"/>
      <c r="D24" s="122"/>
      <c r="E24" s="124"/>
      <c r="F24" s="124">
        <f t="shared" ref="F24" si="5">$C23*F23</f>
        <v>18420.672000000002</v>
      </c>
      <c r="G24" s="124">
        <f>$C23*G23</f>
        <v>18420.672000000002</v>
      </c>
      <c r="H24" s="124">
        <f t="shared" ref="H24:I24" si="6">$C23*H23</f>
        <v>18420.672000000002</v>
      </c>
      <c r="I24" s="124">
        <f t="shared" si="6"/>
        <v>55262.015999999996</v>
      </c>
      <c r="J24" s="124">
        <f>$C23*J23</f>
        <v>36841.344000000005</v>
      </c>
      <c r="K24" s="124">
        <f t="shared" ref="K24" si="7">$C23*K23</f>
        <v>36841.344000000005</v>
      </c>
    </row>
    <row r="25" spans="1:11" s="114" customFormat="1">
      <c r="A25" s="119">
        <v>5</v>
      </c>
      <c r="B25" s="118" t="s">
        <v>135</v>
      </c>
      <c r="C25" s="121">
        <f>'Planilha Orçamentária'!I31</f>
        <v>133245.35999999999</v>
      </c>
      <c r="D25" s="122">
        <f>C25/$C$30</f>
        <v>8.5959620202528939E-2</v>
      </c>
      <c r="E25" s="123"/>
      <c r="F25" s="123">
        <v>0.1</v>
      </c>
      <c r="G25" s="123">
        <v>0.1</v>
      </c>
      <c r="H25" s="123">
        <v>0.1</v>
      </c>
      <c r="I25" s="123">
        <v>0.3</v>
      </c>
      <c r="J25" s="123">
        <v>0.2</v>
      </c>
      <c r="K25" s="123">
        <v>0.2</v>
      </c>
    </row>
    <row r="26" spans="1:11" s="114" customFormat="1">
      <c r="A26" s="119"/>
      <c r="B26" s="118"/>
      <c r="C26" s="121"/>
      <c r="D26" s="122"/>
      <c r="E26" s="124"/>
      <c r="F26" s="124">
        <f t="shared" ref="F26" si="8">$C25*F25</f>
        <v>13324.536</v>
      </c>
      <c r="G26" s="124">
        <f>$C25*G25</f>
        <v>13324.536</v>
      </c>
      <c r="H26" s="124">
        <f t="shared" ref="H26:I26" si="9">$C25*H25</f>
        <v>13324.536</v>
      </c>
      <c r="I26" s="124">
        <f t="shared" si="9"/>
        <v>39973.607999999993</v>
      </c>
      <c r="J26" s="124">
        <f>$C25*J25</f>
        <v>26649.072</v>
      </c>
      <c r="K26" s="124">
        <f t="shared" ref="K26" si="10">$C25*K25</f>
        <v>26649.072</v>
      </c>
    </row>
    <row r="27" spans="1:11" s="114" customFormat="1">
      <c r="A27" s="119">
        <v>6</v>
      </c>
      <c r="B27" s="120" t="s">
        <v>136</v>
      </c>
      <c r="C27" s="121">
        <f>'Planilha Orçamentária'!I39</f>
        <v>1929.9</v>
      </c>
      <c r="D27" s="122">
        <f>C27/$C$30</f>
        <v>1.2450224985610053E-3</v>
      </c>
      <c r="E27" s="123"/>
      <c r="F27" s="123">
        <v>0.1</v>
      </c>
      <c r="G27" s="123">
        <v>0.1</v>
      </c>
      <c r="H27" s="123">
        <v>0.1</v>
      </c>
      <c r="I27" s="123">
        <v>0.3</v>
      </c>
      <c r="J27" s="123">
        <v>0.2</v>
      </c>
      <c r="K27" s="123">
        <v>0.2</v>
      </c>
    </row>
    <row r="28" spans="1:11" s="114" customFormat="1">
      <c r="A28" s="119"/>
      <c r="B28" s="118"/>
      <c r="C28" s="121"/>
      <c r="D28" s="122"/>
      <c r="E28" s="124"/>
      <c r="F28" s="124">
        <f t="shared" ref="F28" si="11">$C27*F27</f>
        <v>192.99</v>
      </c>
      <c r="G28" s="124">
        <f>$C27*G27</f>
        <v>192.99</v>
      </c>
      <c r="H28" s="124">
        <f t="shared" ref="H28:I28" si="12">$C27*H27</f>
        <v>192.99</v>
      </c>
      <c r="I28" s="124">
        <f t="shared" si="12"/>
        <v>578.97</v>
      </c>
      <c r="J28" s="124">
        <f>$C27*J27</f>
        <v>385.98</v>
      </c>
      <c r="K28" s="124">
        <f t="shared" ref="K28" si="13">$C27*K27</f>
        <v>385.98</v>
      </c>
    </row>
    <row r="29" spans="1:11" s="114" customFormat="1" ht="13.8" thickBot="1">
      <c r="A29" s="125"/>
      <c r="B29" s="125"/>
      <c r="C29" s="126"/>
      <c r="D29" s="125"/>
      <c r="E29" s="125"/>
      <c r="F29" s="125"/>
      <c r="G29" s="125"/>
      <c r="H29" s="125"/>
      <c r="I29" s="125"/>
      <c r="J29" s="125"/>
      <c r="K29" s="125"/>
    </row>
    <row r="30" spans="1:11" s="114" customFormat="1" ht="13.8" thickBot="1">
      <c r="A30" s="242" t="s">
        <v>92</v>
      </c>
      <c r="B30" s="243"/>
      <c r="C30" s="127">
        <f>TRUNC(C17+C19+C23+C25+C27+C21,2)</f>
        <v>1550092.47</v>
      </c>
      <c r="D30" s="140">
        <f>TRUNC(D17+D19+D23+D25+D27+D21,2)</f>
        <v>1</v>
      </c>
      <c r="E30" s="128">
        <f>TRUNC(E18+E20+E2++E24+E26+E28+E22,2)</f>
        <v>78882.25</v>
      </c>
      <c r="F30" s="128">
        <f t="shared" ref="F30:H30" si="14">TRUNC(F18+F20+F2++F24+F26+F28+F22,2)</f>
        <v>215482.06</v>
      </c>
      <c r="G30" s="128">
        <f t="shared" si="14"/>
        <v>139525.35</v>
      </c>
      <c r="H30" s="128">
        <f t="shared" si="14"/>
        <v>139525.35</v>
      </c>
      <c r="I30" s="128">
        <f t="shared" ref="I30:K30" si="15">TRUNC(I18+I20+I2++I24+I26+I28+I22,2)</f>
        <v>418576.05</v>
      </c>
      <c r="J30" s="128">
        <f t="shared" si="15"/>
        <v>279050.7</v>
      </c>
      <c r="K30" s="128">
        <f t="shared" si="15"/>
        <v>279050.7</v>
      </c>
    </row>
    <row r="31" spans="1:11" s="114" customFormat="1" ht="13.8" thickBot="1">
      <c r="A31" s="237" t="s">
        <v>93</v>
      </c>
      <c r="B31" s="238"/>
      <c r="C31" s="238"/>
      <c r="D31" s="239"/>
      <c r="E31" s="129">
        <f t="shared" ref="E31:K31" si="16">E30/$C$30</f>
        <v>5.0888738269917536E-2</v>
      </c>
      <c r="F31" s="129">
        <f t="shared" si="16"/>
        <v>0.13901239066079715</v>
      </c>
      <c r="G31" s="129">
        <f t="shared" si="16"/>
        <v>9.0010984957561921E-2</v>
      </c>
      <c r="H31" s="129">
        <f t="shared" si="16"/>
        <v>9.0010984957561921E-2</v>
      </c>
      <c r="I31" s="129">
        <f t="shared" si="16"/>
        <v>0.27003295487268575</v>
      </c>
      <c r="J31" s="129">
        <f t="shared" si="16"/>
        <v>0.18002196991512384</v>
      </c>
      <c r="K31" s="129">
        <f t="shared" si="16"/>
        <v>0.18002196991512384</v>
      </c>
    </row>
    <row r="32" spans="1:11" s="114" customFormat="1" ht="13.8" thickBot="1">
      <c r="A32" s="237" t="s">
        <v>94</v>
      </c>
      <c r="B32" s="238"/>
      <c r="C32" s="238"/>
      <c r="D32" s="239"/>
      <c r="E32" s="130">
        <f>E31</f>
        <v>5.0888738269917536E-2</v>
      </c>
      <c r="F32" s="130">
        <f>E32+F31</f>
        <v>0.1899011289307147</v>
      </c>
      <c r="G32" s="130">
        <f t="shared" ref="G32:H32" si="17">F32+G31</f>
        <v>0.27991211388827664</v>
      </c>
      <c r="H32" s="130">
        <f t="shared" si="17"/>
        <v>0.36992309884583857</v>
      </c>
      <c r="I32" s="130">
        <f>H32+I31</f>
        <v>0.63995605371852426</v>
      </c>
      <c r="J32" s="130">
        <f t="shared" ref="J32" si="18">I32+J31</f>
        <v>0.81997802363364813</v>
      </c>
      <c r="K32" s="130">
        <f t="shared" ref="K32" si="19">J32+K31</f>
        <v>0.999999993548772</v>
      </c>
    </row>
  </sheetData>
  <mergeCells count="8">
    <mergeCell ref="A1:K1"/>
    <mergeCell ref="A2:K2"/>
    <mergeCell ref="A31:D31"/>
    <mergeCell ref="A32:D32"/>
    <mergeCell ref="A4:B4"/>
    <mergeCell ref="A30:B30"/>
    <mergeCell ref="A11:K13"/>
    <mergeCell ref="E14:K14"/>
  </mergeCells>
  <conditionalFormatting sqref="A3:A4">
    <cfRule type="cellIs" dxfId="2" priority="6" stopIfTrue="1" operator="equal">
      <formula>0</formula>
    </cfRule>
  </conditionalFormatting>
  <conditionalFormatting sqref="A6:C7">
    <cfRule type="cellIs" dxfId="1" priority="1" stopIfTrue="1" operator="equal">
      <formula>0</formula>
    </cfRule>
  </conditionalFormatting>
  <conditionalFormatting sqref="D3 C3:C4 D6 B8:D8 A9:B10">
    <cfRule type="cellIs" dxfId="0" priority="7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landscape" horizontalDpi="360" verticalDpi="360" r:id="rId1"/>
  <headerFooter>
    <oddFooter>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H9:K12"/>
  <sheetViews>
    <sheetView workbookViewId="0">
      <selection activeCell="J11" sqref="J11"/>
    </sheetView>
  </sheetViews>
  <sheetFormatPr defaultRowHeight="13.2"/>
  <cols>
    <col min="10" max="10" width="12.33203125" customWidth="1"/>
  </cols>
  <sheetData>
    <row r="9" spans="8:11" ht="26.4">
      <c r="H9" s="153" t="s">
        <v>140</v>
      </c>
      <c r="I9" s="153" t="s">
        <v>141</v>
      </c>
      <c r="J9" s="153" t="s">
        <v>142</v>
      </c>
      <c r="K9" s="153" t="s">
        <v>103</v>
      </c>
    </row>
    <row r="10" spans="8:11">
      <c r="H10" s="151" t="s">
        <v>143</v>
      </c>
      <c r="I10" s="151" t="s">
        <v>144</v>
      </c>
      <c r="J10" s="151">
        <f>2*115*42</f>
        <v>9660</v>
      </c>
      <c r="K10" s="152">
        <f>(J10/100)*0.397</f>
        <v>38.350200000000001</v>
      </c>
    </row>
    <row r="11" spans="8:11">
      <c r="H11" s="151"/>
      <c r="I11" s="151" t="s">
        <v>145</v>
      </c>
      <c r="J11" s="151">
        <f>712*50</f>
        <v>35600</v>
      </c>
      <c r="K11" s="152">
        <f>(J11/100)*1.578</f>
        <v>561.76800000000003</v>
      </c>
    </row>
    <row r="12" spans="8:11" ht="26.4">
      <c r="H12" s="151" t="s">
        <v>146</v>
      </c>
      <c r="I12" s="151" t="s">
        <v>147</v>
      </c>
      <c r="J12" s="150" t="s">
        <v>148</v>
      </c>
      <c r="K12" s="152">
        <v>1776.5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Planilha Orçamentária</vt:lpstr>
      <vt:lpstr>Memória de Cálculo</vt:lpstr>
      <vt:lpstr>BDI Geral</vt:lpstr>
      <vt:lpstr>BDI Diferenciado</vt:lpstr>
      <vt:lpstr>Composições Unitárias</vt:lpstr>
      <vt:lpstr>Cronograma F.F.</vt:lpstr>
      <vt:lpstr>Ferros</vt:lpstr>
      <vt:lpstr>'BDI Diferenciado'!Area_de_impressao</vt:lpstr>
      <vt:lpstr>'BDI Geral'!Area_de_impressao</vt:lpstr>
      <vt:lpstr>'Composições Unitárias'!Area_de_impressao</vt:lpstr>
      <vt:lpstr>'Cronograma F.F.'!Area_de_impressao</vt:lpstr>
      <vt:lpstr>'Memória de Cálculo'!Area_de_impressao</vt:lpstr>
      <vt:lpstr>'Planilha Orçamentária'!Area_de_impressao</vt:lpstr>
    </vt:vector>
  </TitlesOfParts>
  <Company>PNUD/BRA/00/027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Licitação Afrânio</cp:lastModifiedBy>
  <cp:lastPrinted>2023-12-28T12:51:21Z</cp:lastPrinted>
  <dcterms:created xsi:type="dcterms:W3CDTF">2005-05-06T14:48:20Z</dcterms:created>
  <dcterms:modified xsi:type="dcterms:W3CDTF">2024-01-03T13:35:04Z</dcterms:modified>
</cp:coreProperties>
</file>