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8" yWindow="-108" windowWidth="23256" windowHeight="12456" tabRatio="914"/>
  </bookViews>
  <sheets>
    <sheet name="Planilha Orçamentária" sheetId="187" r:id="rId1"/>
    <sheet name="Memória de Cálculo" sheetId="188" r:id="rId2"/>
    <sheet name="BDI Geral" sheetId="185" r:id="rId3"/>
    <sheet name="Composições Unitárias" sheetId="189" r:id="rId4"/>
    <sheet name="Cronograma F.F." sheetId="190" r:id="rId5"/>
  </sheets>
  <externalReferences>
    <externalReference r:id="rId6"/>
    <externalReference r:id="rId7"/>
    <externalReference r:id="rId8"/>
  </externalReferences>
  <definedNames>
    <definedName name="_Fill" localSheetId="2" hidden="1">#REF!</definedName>
    <definedName name="_Fill" localSheetId="4" hidden="1">#REF!</definedName>
    <definedName name="_Fill" hidden="1">#REF!</definedName>
    <definedName name="_Key1" localSheetId="2" hidden="1">#REF!</definedName>
    <definedName name="_Key1" localSheetId="4" hidden="1">#REF!</definedName>
    <definedName name="_Key1" hidden="1">#REF!</definedName>
    <definedName name="_Key2" localSheetId="2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4" hidden="1">#REF!</definedName>
    <definedName name="_Sort" hidden="1">#REF!</definedName>
    <definedName name="a" localSheetId="2" hidden="1">#REF!</definedName>
    <definedName name="a" localSheetId="4" hidden="1">#REF!</definedName>
    <definedName name="a" hidden="1">#REF!</definedName>
    <definedName name="ACRE" localSheetId="2" hidden="1">#REF!</definedName>
    <definedName name="ACRE" localSheetId="4" hidden="1">#REF!</definedName>
    <definedName name="ACRE" hidden="1">#REF!</definedName>
    <definedName name="ademir" hidden="1">{#N/A,#N/A,FALSE,"Cronograma";#N/A,#N/A,FALSE,"Cronogr. 2"}</definedName>
    <definedName name="_xlnm.Print_Area" localSheetId="3">'Composições Unitárias'!$A$1:$H$27</definedName>
    <definedName name="_xlnm.Print_Area" localSheetId="4">'Cronograma F.F.'!$A$1:$K$43</definedName>
    <definedName name="_xlnm.Print_Area" localSheetId="1">'Memória de Cálculo'!$A$1:$I$202</definedName>
    <definedName name="_xlnm.Print_Area" localSheetId="0">'Planilha Orçamentária'!$A$1:$J$122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2" hidden="1">#REF!</definedName>
    <definedName name="SINAPI_AC" localSheetId="4" hidden="1">#REF!</definedName>
    <definedName name="SINAPI_AC" hidden="1">#REF!</definedName>
    <definedName name="ss" hidden="1">{#N/A,#N/A,FALSE,"Cronograma";#N/A,#N/A,FALSE,"Cronogr. 2"}</definedName>
    <definedName name="_xlnm.Print_Titles" localSheetId="1">'Memória de Cálculo'!$1:$13</definedName>
    <definedName name="_xlnm.Print_Titles" localSheetId="0">'Planilha Orçamentária'!$1:$13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6" i="187"/>
  <c r="F107"/>
  <c r="F108"/>
  <c r="F109"/>
  <c r="F110"/>
  <c r="F111"/>
  <c r="F112"/>
  <c r="F113"/>
  <c r="F114"/>
  <c r="F115"/>
  <c r="I193" i="188"/>
  <c r="G195"/>
  <c r="G196"/>
  <c r="G197"/>
  <c r="G188"/>
  <c r="D181"/>
  <c r="D173"/>
  <c r="I162"/>
  <c r="I161"/>
  <c r="I160"/>
  <c r="I159"/>
  <c r="I149"/>
  <c r="I148"/>
  <c r="I147"/>
  <c r="I146"/>
  <c r="I113"/>
  <c r="I112"/>
  <c r="I111"/>
  <c r="I110"/>
  <c r="K81"/>
  <c r="K82" s="1"/>
  <c r="L81"/>
  <c r="L83" s="1"/>
  <c r="I100"/>
  <c r="I99"/>
  <c r="I84"/>
  <c r="I82"/>
  <c r="I83"/>
  <c r="I81"/>
  <c r="D67"/>
  <c r="I67" s="1"/>
  <c r="F50" i="187" s="1"/>
  <c r="D65" i="188"/>
  <c r="I65" s="1"/>
  <c r="F48" i="187" s="1"/>
  <c r="D69" i="188"/>
  <c r="D68"/>
  <c r="D66"/>
  <c r="D64"/>
  <c r="D57"/>
  <c r="D62"/>
  <c r="D61"/>
  <c r="D59"/>
  <c r="I59" s="1"/>
  <c r="F42" i="187" s="1"/>
  <c r="D58" i="188"/>
  <c r="D60"/>
  <c r="I60" s="1"/>
  <c r="F43" i="187" s="1"/>
  <c r="D21" i="188"/>
  <c r="D54"/>
  <c r="D53"/>
  <c r="D52"/>
  <c r="I52" s="1"/>
  <c r="F35" i="187" s="1"/>
  <c r="D51" i="188"/>
  <c r="I51" s="1"/>
  <c r="F34" i="187" s="1"/>
  <c r="D50" i="188"/>
  <c r="D49"/>
  <c r="D48"/>
  <c r="I46"/>
  <c r="I45"/>
  <c r="I44"/>
  <c r="I43"/>
  <c r="I27"/>
  <c r="I26"/>
  <c r="I25"/>
  <c r="I24"/>
  <c r="G130"/>
  <c r="I130" s="1"/>
  <c r="F79" i="187" s="1"/>
  <c r="I139" i="188"/>
  <c r="F88" i="187" s="1"/>
  <c r="I138" i="188"/>
  <c r="F87" i="187" s="1"/>
  <c r="I137" i="188"/>
  <c r="F86" i="187" s="1"/>
  <c r="I136" i="188"/>
  <c r="F85" i="187" s="1"/>
  <c r="I135" i="188"/>
  <c r="F84" i="187" s="1"/>
  <c r="I134" i="188"/>
  <c r="F83" i="187" s="1"/>
  <c r="I133" i="188"/>
  <c r="F82" i="187" s="1"/>
  <c r="I132" i="188"/>
  <c r="F81" i="187" s="1"/>
  <c r="I131" i="188"/>
  <c r="F80" i="187" s="1"/>
  <c r="I129" i="188"/>
  <c r="F78" i="187" s="1"/>
  <c r="F21" i="189"/>
  <c r="F25"/>
  <c r="I89" i="188"/>
  <c r="I88"/>
  <c r="D126"/>
  <c r="I74"/>
  <c r="I73"/>
  <c r="I17"/>
  <c r="I34"/>
  <c r="I33"/>
  <c r="I31"/>
  <c r="L14" i="187"/>
  <c r="L82" i="188" l="1"/>
  <c r="K83"/>
  <c r="I85"/>
  <c r="I47"/>
  <c r="F30" i="187" s="1"/>
  <c r="I28" i="188"/>
  <c r="F23" i="187" s="1"/>
  <c r="I75" i="188"/>
  <c r="F54" i="187" s="1"/>
  <c r="I90" i="188"/>
  <c r="F60" i="187" s="1"/>
  <c r="I200" i="188"/>
  <c r="F119" i="187" s="1"/>
  <c r="I197" i="188"/>
  <c r="I196"/>
  <c r="I195"/>
  <c r="I194"/>
  <c r="I192"/>
  <c r="I191"/>
  <c r="I190"/>
  <c r="I189"/>
  <c r="I188"/>
  <c r="I181"/>
  <c r="I185"/>
  <c r="F102" i="187" s="1"/>
  <c r="I184" i="188"/>
  <c r="F101" i="187" s="1"/>
  <c r="I183" i="188"/>
  <c r="F100" i="187" s="1"/>
  <c r="I173" i="188"/>
  <c r="D168"/>
  <c r="I168" s="1"/>
  <c r="F94" i="187" s="1"/>
  <c r="I166" i="188"/>
  <c r="I153"/>
  <c r="I155"/>
  <c r="I126"/>
  <c r="F74" i="187" s="1"/>
  <c r="D125" i="188"/>
  <c r="I125" s="1"/>
  <c r="F73" i="187" s="1"/>
  <c r="D124" i="188"/>
  <c r="I124" s="1"/>
  <c r="F72" i="187" s="1"/>
  <c r="I123" i="188"/>
  <c r="F71" i="187" s="1"/>
  <c r="I122" i="188"/>
  <c r="F70" i="187" s="1"/>
  <c r="I121" i="188"/>
  <c r="F69" i="187" s="1"/>
  <c r="I117" i="188"/>
  <c r="I118" s="1"/>
  <c r="I104"/>
  <c r="I98"/>
  <c r="I97"/>
  <c r="I78"/>
  <c r="F58" i="187" s="1"/>
  <c r="I69" i="188"/>
  <c r="F52" i="187" s="1"/>
  <c r="I68" i="188"/>
  <c r="F51" i="187" s="1"/>
  <c r="I66" i="188"/>
  <c r="F49" i="187" s="1"/>
  <c r="I64" i="188"/>
  <c r="F47" i="187" s="1"/>
  <c r="I61" i="188"/>
  <c r="F44" i="187" s="1"/>
  <c r="I58" i="188"/>
  <c r="F41" i="187" s="1"/>
  <c r="I62" i="188"/>
  <c r="F45" i="187" s="1"/>
  <c r="I57" i="188"/>
  <c r="F40" i="187" s="1"/>
  <c r="I55" i="188"/>
  <c r="F38" i="187" s="1"/>
  <c r="I53" i="188"/>
  <c r="F36" i="187" s="1"/>
  <c r="I50" i="188"/>
  <c r="F33" i="187" s="1"/>
  <c r="I49" i="188"/>
  <c r="F32" i="187" s="1"/>
  <c r="I106" i="188"/>
  <c r="I93"/>
  <c r="I54"/>
  <c r="F37" i="187" s="1"/>
  <c r="I48" i="188"/>
  <c r="F31" i="187" s="1"/>
  <c r="I35" i="188"/>
  <c r="I32"/>
  <c r="I20"/>
  <c r="F17" i="187"/>
  <c r="I16" i="188"/>
  <c r="F16" i="187" s="1"/>
  <c r="I15" i="188"/>
  <c r="I21"/>
  <c r="L17" i="187"/>
  <c r="K47"/>
  <c r="L65"/>
  <c r="L16"/>
  <c r="H21" i="189"/>
  <c r="H25"/>
  <c r="H24"/>
  <c r="H23"/>
  <c r="H22"/>
  <c r="H18"/>
  <c r="I105" i="188" l="1"/>
  <c r="F64" i="187" s="1"/>
  <c r="G37" i="188"/>
  <c r="I37" s="1"/>
  <c r="F25" i="187" s="1"/>
  <c r="I36" i="188"/>
  <c r="F24" i="187" s="1"/>
  <c r="I182" i="188"/>
  <c r="F99" i="187" s="1"/>
  <c r="I174" i="188"/>
  <c r="F95" i="187" s="1"/>
  <c r="I167" i="188"/>
  <c r="F93" i="187" s="1"/>
  <c r="I154" i="188"/>
  <c r="F92" i="187" s="1"/>
  <c r="F65"/>
  <c r="J29" i="188"/>
  <c r="K29" s="1"/>
  <c r="H26" i="189"/>
  <c r="H19"/>
  <c r="L4" i="187"/>
  <c r="L7"/>
  <c r="L6" s="1"/>
  <c r="L5" s="1"/>
  <c r="L9"/>
  <c r="L10"/>
  <c r="F59" l="1"/>
  <c r="H27" i="189"/>
  <c r="G100" i="187" s="1"/>
  <c r="F22" l="1"/>
  <c r="F21" l="1"/>
  <c r="C19" i="185" l="1"/>
  <c r="C25" s="1"/>
  <c r="D11" i="189" l="1"/>
  <c r="E10" i="187"/>
  <c r="K3" i="189"/>
  <c r="H112" i="187" l="1"/>
  <c r="I112" s="1"/>
  <c r="H32"/>
  <c r="I32" s="1"/>
  <c r="H48"/>
  <c r="I48" s="1"/>
  <c r="H50"/>
  <c r="I50" s="1"/>
  <c r="H42"/>
  <c r="I42" s="1"/>
  <c r="H43"/>
  <c r="I43" s="1"/>
  <c r="H35"/>
  <c r="I35" s="1"/>
  <c r="H34"/>
  <c r="I34" s="1"/>
  <c r="H86"/>
  <c r="I86" s="1"/>
  <c r="H87"/>
  <c r="I87" s="1"/>
  <c r="H88"/>
  <c r="I88" s="1"/>
  <c r="H81"/>
  <c r="I81" s="1"/>
  <c r="H85"/>
  <c r="I85" s="1"/>
  <c r="H84"/>
  <c r="I84" s="1"/>
  <c r="H83"/>
  <c r="I83" s="1"/>
  <c r="H82"/>
  <c r="I82" s="1"/>
  <c r="H60"/>
  <c r="I60" s="1"/>
  <c r="H80"/>
  <c r="I80" s="1"/>
  <c r="H79"/>
  <c r="I79" s="1"/>
  <c r="H78"/>
  <c r="I78" s="1"/>
  <c r="H70"/>
  <c r="I70" s="1"/>
  <c r="H115"/>
  <c r="I115" s="1"/>
  <c r="H25"/>
  <c r="I25" s="1"/>
  <c r="H71"/>
  <c r="I71" s="1"/>
  <c r="H17"/>
  <c r="I17" s="1"/>
  <c r="H15"/>
  <c r="H102"/>
  <c r="I102" s="1"/>
  <c r="H110"/>
  <c r="I110" s="1"/>
  <c r="H111"/>
  <c r="I111" s="1"/>
  <c r="H113"/>
  <c r="I113" s="1"/>
  <c r="H74"/>
  <c r="I74" s="1"/>
  <c r="H59"/>
  <c r="I59" s="1"/>
  <c r="H72"/>
  <c r="I72" s="1"/>
  <c r="H73"/>
  <c r="I73" s="1"/>
  <c r="H45"/>
  <c r="I45" s="1"/>
  <c r="H52"/>
  <c r="I52" s="1"/>
  <c r="H37"/>
  <c r="I37" s="1"/>
  <c r="H38"/>
  <c r="I38" s="1"/>
  <c r="H33"/>
  <c r="I33" s="1"/>
  <c r="H36"/>
  <c r="I36" s="1"/>
  <c r="H54"/>
  <c r="I54" s="1"/>
  <c r="I53" s="1"/>
  <c r="H51"/>
  <c r="I51" s="1"/>
  <c r="H49"/>
  <c r="I49" s="1"/>
  <c r="H47"/>
  <c r="I47" s="1"/>
  <c r="H44"/>
  <c r="I44" s="1"/>
  <c r="H40"/>
  <c r="I40" s="1"/>
  <c r="H41"/>
  <c r="I41" s="1"/>
  <c r="H64"/>
  <c r="I64" s="1"/>
  <c r="H65"/>
  <c r="I65" s="1"/>
  <c r="H95"/>
  <c r="I95" s="1"/>
  <c r="H94"/>
  <c r="I94" s="1"/>
  <c r="H93"/>
  <c r="I93" s="1"/>
  <c r="H92"/>
  <c r="I92" s="1"/>
  <c r="H119"/>
  <c r="I119" s="1"/>
  <c r="I120" s="1"/>
  <c r="H69"/>
  <c r="I69" s="1"/>
  <c r="H58"/>
  <c r="I58" s="1"/>
  <c r="H114"/>
  <c r="I114" s="1"/>
  <c r="H16"/>
  <c r="I16" s="1"/>
  <c r="H106"/>
  <c r="I106" s="1"/>
  <c r="H109"/>
  <c r="I109" s="1"/>
  <c r="H108"/>
  <c r="I108" s="1"/>
  <c r="H107"/>
  <c r="I107" s="1"/>
  <c r="H101"/>
  <c r="I101" s="1"/>
  <c r="H100"/>
  <c r="I100" s="1"/>
  <c r="H24"/>
  <c r="I24" s="1"/>
  <c r="H31"/>
  <c r="I31" s="1"/>
  <c r="H30"/>
  <c r="I30" s="1"/>
  <c r="H22"/>
  <c r="I22" s="1"/>
  <c r="H21"/>
  <c r="I21" s="1"/>
  <c r="H23"/>
  <c r="H99"/>
  <c r="I99" s="1"/>
  <c r="I66" l="1"/>
  <c r="C25" i="190" s="1"/>
  <c r="I89" i="187"/>
  <c r="I116"/>
  <c r="C35" i="190" s="1"/>
  <c r="I103" i="187"/>
  <c r="I96"/>
  <c r="C31" i="190" s="1"/>
  <c r="I75" i="187"/>
  <c r="C27" i="190" s="1"/>
  <c r="I61" i="187"/>
  <c r="I46"/>
  <c r="I39"/>
  <c r="I29"/>
  <c r="C37" i="190"/>
  <c r="L71" i="187"/>
  <c r="I23"/>
  <c r="I26" s="1"/>
  <c r="H38" i="190" l="1"/>
  <c r="I38"/>
  <c r="J38"/>
  <c r="K38"/>
  <c r="J36"/>
  <c r="I36"/>
  <c r="K36"/>
  <c r="F32"/>
  <c r="K32"/>
  <c r="J32"/>
  <c r="I32"/>
  <c r="K28"/>
  <c r="J28"/>
  <c r="I28"/>
  <c r="K26"/>
  <c r="I26"/>
  <c r="J26"/>
  <c r="I55" i="187"/>
  <c r="C21" i="190" s="1"/>
  <c r="C19"/>
  <c r="K20" s="1"/>
  <c r="E32"/>
  <c r="E38"/>
  <c r="G38"/>
  <c r="F38"/>
  <c r="H32"/>
  <c r="G32"/>
  <c r="I77" i="187"/>
  <c r="C29" i="190" s="1"/>
  <c r="I57" i="187"/>
  <c r="C23" i="190"/>
  <c r="G28"/>
  <c r="H28"/>
  <c r="E28"/>
  <c r="F28"/>
  <c r="H36"/>
  <c r="E36"/>
  <c r="F36"/>
  <c r="G36"/>
  <c r="F20"/>
  <c r="H20"/>
  <c r="E20"/>
  <c r="G20"/>
  <c r="G26"/>
  <c r="E26"/>
  <c r="F26"/>
  <c r="H26"/>
  <c r="C33"/>
  <c r="I98" i="187"/>
  <c r="I20"/>
  <c r="I63"/>
  <c r="I91"/>
  <c r="I118"/>
  <c r="I68"/>
  <c r="I105"/>
  <c r="E30" i="190" l="1"/>
  <c r="I30"/>
  <c r="G30"/>
  <c r="J30"/>
  <c r="H30"/>
  <c r="K30"/>
  <c r="F30"/>
  <c r="J34"/>
  <c r="I34"/>
  <c r="K34"/>
  <c r="K24"/>
  <c r="J24"/>
  <c r="I24"/>
  <c r="K22"/>
  <c r="J22"/>
  <c r="I22"/>
  <c r="J20"/>
  <c r="I20"/>
  <c r="E22"/>
  <c r="G22"/>
  <c r="H22"/>
  <c r="F22"/>
  <c r="H24"/>
  <c r="E24"/>
  <c r="F24"/>
  <c r="G24"/>
  <c r="H34"/>
  <c r="F34"/>
  <c r="G34"/>
  <c r="E34"/>
  <c r="F15" i="187"/>
  <c r="I15" s="1"/>
  <c r="I18" l="1"/>
  <c r="I122" s="1"/>
  <c r="J89" s="1"/>
  <c r="I14" l="1"/>
  <c r="J14" s="1"/>
  <c r="J112"/>
  <c r="C17" i="190"/>
  <c r="I18" s="1"/>
  <c r="I40" s="1"/>
  <c r="C40"/>
  <c r="D29" s="1"/>
  <c r="K18"/>
  <c r="K40" s="1"/>
  <c r="J18"/>
  <c r="J40" s="1"/>
  <c r="J48" i="187"/>
  <c r="J50"/>
  <c r="J42"/>
  <c r="J43"/>
  <c r="J35"/>
  <c r="J34"/>
  <c r="J88"/>
  <c r="J87"/>
  <c r="J86"/>
  <c r="J81"/>
  <c r="J82"/>
  <c r="J83"/>
  <c r="J85"/>
  <c r="J84"/>
  <c r="J78"/>
  <c r="J80"/>
  <c r="J79"/>
  <c r="J77"/>
  <c r="J115"/>
  <c r="J60"/>
  <c r="J71"/>
  <c r="J70"/>
  <c r="J98"/>
  <c r="J103"/>
  <c r="J63"/>
  <c r="J54"/>
  <c r="J110"/>
  <c r="J61"/>
  <c r="J65"/>
  <c r="J15"/>
  <c r="J23"/>
  <c r="J26"/>
  <c r="J114"/>
  <c r="J99"/>
  <c r="J101"/>
  <c r="J38"/>
  <c r="J96"/>
  <c r="J49"/>
  <c r="J36"/>
  <c r="J33"/>
  <c r="J47"/>
  <c r="J100"/>
  <c r="J40"/>
  <c r="J64"/>
  <c r="J106"/>
  <c r="J20"/>
  <c r="J16"/>
  <c r="J37"/>
  <c r="J94"/>
  <c r="J75"/>
  <c r="J53"/>
  <c r="J69"/>
  <c r="J116"/>
  <c r="J24"/>
  <c r="J105"/>
  <c r="J57"/>
  <c r="J68"/>
  <c r="J108"/>
  <c r="J52"/>
  <c r="J66"/>
  <c r="J107"/>
  <c r="J21"/>
  <c r="J45"/>
  <c r="J41"/>
  <c r="J72"/>
  <c r="J118"/>
  <c r="J22"/>
  <c r="J102"/>
  <c r="J17"/>
  <c r="J73"/>
  <c r="J29"/>
  <c r="J119"/>
  <c r="J46"/>
  <c r="J25"/>
  <c r="J32"/>
  <c r="J58"/>
  <c r="J44"/>
  <c r="J120"/>
  <c r="J74"/>
  <c r="J39"/>
  <c r="J51"/>
  <c r="J59"/>
  <c r="J113"/>
  <c r="J95"/>
  <c r="J30"/>
  <c r="J31"/>
  <c r="J109"/>
  <c r="J91"/>
  <c r="G10"/>
  <c r="J111"/>
  <c r="J92"/>
  <c r="J93"/>
  <c r="J18"/>
  <c r="K41" i="190" l="1"/>
  <c r="J41"/>
  <c r="G18"/>
  <c r="G40" s="1"/>
  <c r="G41" s="1"/>
  <c r="H18"/>
  <c r="H40" s="1"/>
  <c r="H41" s="1"/>
  <c r="E18"/>
  <c r="E40" s="1"/>
  <c r="E41" s="1"/>
  <c r="F18"/>
  <c r="F40" s="1"/>
  <c r="F41" s="1"/>
  <c r="I41"/>
  <c r="M19" i="187"/>
  <c r="J55"/>
  <c r="J122" s="1"/>
  <c r="E42" i="190" l="1"/>
  <c r="F42" s="1"/>
  <c r="G42" s="1"/>
  <c r="H42" s="1"/>
  <c r="I42" s="1"/>
  <c r="J42" s="1"/>
  <c r="K42" s="1"/>
  <c r="D35"/>
  <c r="D37"/>
  <c r="D25"/>
  <c r="D27"/>
  <c r="D33"/>
  <c r="D31"/>
  <c r="D21"/>
  <c r="D19"/>
  <c r="D23"/>
  <c r="D17"/>
  <c r="D40" l="1"/>
</calcChain>
</file>

<file path=xl/sharedStrings.xml><?xml version="1.0" encoding="utf-8"?>
<sst xmlns="http://schemas.openxmlformats.org/spreadsheetml/2006/main" count="770" uniqueCount="293">
  <si>
    <t>ITEM</t>
  </si>
  <si>
    <t>m</t>
  </si>
  <si>
    <t>m²</t>
  </si>
  <si>
    <t>1.1</t>
  </si>
  <si>
    <t>1.2</t>
  </si>
  <si>
    <t>2.1</t>
  </si>
  <si>
    <t>2.2</t>
  </si>
  <si>
    <t>4.1</t>
  </si>
  <si>
    <t>4.2</t>
  </si>
  <si>
    <t>5.1</t>
  </si>
  <si>
    <t>m³</t>
  </si>
  <si>
    <t>1.3</t>
  </si>
  <si>
    <t>1.4</t>
  </si>
  <si>
    <t>SINAPI</t>
  </si>
  <si>
    <t>CÓDIGO</t>
  </si>
  <si>
    <t>1.5</t>
  </si>
  <si>
    <t>kg</t>
  </si>
  <si>
    <t>5.2</t>
  </si>
  <si>
    <t>T</t>
  </si>
  <si>
    <t>OBRA:</t>
  </si>
  <si>
    <t>DATA:</t>
  </si>
  <si>
    <t>1.0</t>
  </si>
  <si>
    <t>Administração central</t>
  </si>
  <si>
    <t>Seguros+Garantia</t>
  </si>
  <si>
    <t>Risco</t>
  </si>
  <si>
    <t>Lucro</t>
  </si>
  <si>
    <t>Despesa Financeira</t>
  </si>
  <si>
    <t>Tributos sobre a receita</t>
  </si>
  <si>
    <t>1.5.1</t>
  </si>
  <si>
    <t>ISS (*)</t>
  </si>
  <si>
    <t>1.5.2</t>
  </si>
  <si>
    <t>COFINS</t>
  </si>
  <si>
    <t>1.5.3</t>
  </si>
  <si>
    <t>PIS</t>
  </si>
  <si>
    <t>1.5.4</t>
  </si>
  <si>
    <t>INSS (DESONERAÇÃO)</t>
  </si>
  <si>
    <t>BDI</t>
  </si>
  <si>
    <t>AC</t>
  </si>
  <si>
    <t>S+G</t>
  </si>
  <si>
    <t>R</t>
  </si>
  <si>
    <t>L</t>
  </si>
  <si>
    <t>DF</t>
  </si>
  <si>
    <t>T1</t>
  </si>
  <si>
    <t>T2</t>
  </si>
  <si>
    <t>T3</t>
  </si>
  <si>
    <t>T4</t>
  </si>
  <si>
    <t>CÁLCULO DO BDI: {[(1+AC+R+S+G)x(1+DF)x(1+L)]/(1-T)}-1</t>
  </si>
  <si>
    <t>EQUIPAMENTOS</t>
  </si>
  <si>
    <t>Unidade</t>
  </si>
  <si>
    <t>Coeficiente</t>
  </si>
  <si>
    <t>Preço</t>
  </si>
  <si>
    <t>Total</t>
  </si>
  <si>
    <t>MAO DE OBRA</t>
  </si>
  <si>
    <t>Total:</t>
  </si>
  <si>
    <t>COMP 01</t>
  </si>
  <si>
    <t>PREFEITURA MUNICIPAL DE AFRÂNIO</t>
  </si>
  <si>
    <t>Programa</t>
  </si>
  <si>
    <t>Empreendimento</t>
  </si>
  <si>
    <t>Agente Financeiro</t>
  </si>
  <si>
    <t>Proponente</t>
  </si>
  <si>
    <t>Localização</t>
  </si>
  <si>
    <t>Valor total</t>
  </si>
  <si>
    <t>Base de preços e serviços</t>
  </si>
  <si>
    <t>Planilha Orçamentária</t>
  </si>
  <si>
    <t>%</t>
  </si>
  <si>
    <t>REFERÊNCIA</t>
  </si>
  <si>
    <t>DISCRIMINAÇÃO DOS SERVIÇOS</t>
  </si>
  <si>
    <t>UNIDADE</t>
  </si>
  <si>
    <t>QNTD.</t>
  </si>
  <si>
    <t>PREÇO SEM BDI</t>
  </si>
  <si>
    <t>PREÇO COM BDI</t>
  </si>
  <si>
    <t>PREÇO TOTAL</t>
  </si>
  <si>
    <t>TOTAL</t>
  </si>
  <si>
    <t>TOTAL GERAL</t>
  </si>
  <si>
    <t>Memória de Cálculo</t>
  </si>
  <si>
    <t>COMPRIMENTO (m)</t>
  </si>
  <si>
    <t>LARGURA (m)</t>
  </si>
  <si>
    <t>ALTURA/
ESPESSURA (m)</t>
  </si>
  <si>
    <t>QUANTIDADE</t>
  </si>
  <si>
    <t>Composições Unitárias</t>
  </si>
  <si>
    <t>Cronograma Físico - Financeiro</t>
  </si>
  <si>
    <t>MESES CORRIDOS</t>
  </si>
  <si>
    <t>Termo de Compromisso</t>
  </si>
  <si>
    <t>COMPOSIÇÃO</t>
  </si>
  <si>
    <t>h</t>
  </si>
  <si>
    <t>MATERIAIS</t>
  </si>
  <si>
    <t>DESCRIÇÃO DOS SERVIÇOS</t>
  </si>
  <si>
    <t>VALOR (R$)</t>
  </si>
  <si>
    <t>% ITEM</t>
  </si>
  <si>
    <t>Valores totais</t>
  </si>
  <si>
    <t>Percentuais Mensais</t>
  </si>
  <si>
    <t>Percentuais Acumulados</t>
  </si>
  <si>
    <t>TAXAS</t>
  </si>
  <si>
    <t>BDI (Geral)</t>
  </si>
  <si>
    <t>COMPOSIÇÃO DO BDI (Geral)</t>
  </si>
  <si>
    <t>2.3</t>
  </si>
  <si>
    <t>1.0 SERVIÇOS PRELIMINARES</t>
  </si>
  <si>
    <t>2.4</t>
  </si>
  <si>
    <t>2.5</t>
  </si>
  <si>
    <t>CONCRETAGEM DE SAPATAS, FCK 30 MPA, COM USO DE JERICA  LANÇAMENTO, ADENSAMENTO E ACABAMENTO. AF_06/2017</t>
  </si>
  <si>
    <t>ALVENARIA DE VEDAÇÃO DE BLOCOS CERÂMICOS FURADOS NA HORIZONTAL DE 9X19X19 CM (ESPESSURA 9 CM) E ARGAMASSA DE ASSENTAMENTO COM PREPARO EM BETONEIRA. AF_12/2021</t>
  </si>
  <si>
    <t>APLICAÇÃO MANUAL DE PINTURA COM TINTA TEXTURIZADA ACRÍLICA EM PAREDES EXTERNAS DE CASAS, UMA COR. AF_06/2014</t>
  </si>
  <si>
    <t>4.0 ALAMBRADOS E EQUIPAMENTOS</t>
  </si>
  <si>
    <t>cj</t>
  </si>
  <si>
    <t>und</t>
  </si>
  <si>
    <t>SERRALHEIRO COM ENCARGOS COMPLEMENTARES</t>
  </si>
  <si>
    <t>PINTURA COM TINTA ALQUÍDICA DE FUNDO (TIPO ZARCÃO) APLICADA A ROLO OU PINCEL SOBRE SUPERFÍCIES METÁLICAS (EXCETO PERFIL) EXECUTADO EM OBRA (POR DEMÃO). AF_01/2020</t>
  </si>
  <si>
    <t>PINTURA COM TINTA ALQUÍDICA DE ACABAMENTO (ESMALTE SINTÉTICO BRILHANTE) PULVERIZADA SOBRE SUPERFÍCIES METÁLICAS (EXCETO PERFIL) EXECUTADO EM OBRA  (POR DEMÃO). AF_01/2020_PE</t>
  </si>
  <si>
    <t>FECHADURA DE SOBREPOR PARA PORTAO, EM ACO INOX COM ACABAMENTO CROMADO, CAIXA DE 100 MM, INCLUINDO CHAVE TIPO CILINDRO</t>
  </si>
  <si>
    <t>PORTÃO EM ESTRUTURA DE TUBOS METÁLCOS PINTADOS COM TELA DE PROTEÇÃO EM NYLON 4 MM, MALHA DE 8 CM.</t>
  </si>
  <si>
    <t>CONCRETAGEM DE RADIER, PISO DE CONCRETO OU LAJE SOBRE SOLO, FCK 30 MPA - LANÇAMENTO, ADENSAMENTO E ACABAMENTO. AF_09/2021</t>
  </si>
  <si>
    <t>*Considerando alíquota total sem qualquer dedução, conforme previsto no Art. 136, em seu item 7.02 da Lei Municipal nº 537 de 15 de setembro de 2017. A alíquota de ISS real aplicada dependerá de possível desoneração de folha e, caso não haja, divisão estimativa em 60% de mão de obra e 40% de materiais.</t>
  </si>
  <si>
    <t>SERVIÇOS PRELIMINARES</t>
  </si>
  <si>
    <t>QUADRO DE MEDIÇÃO GERAL DE ENERGIA PARA 1 MEDIDOR DE SOBREPOR - FORNECIMENTO E INSTALAÇÃO. AF_10/2020</t>
  </si>
  <si>
    <t>DISJUNTOR MONOPOLAR TIPO DIN, CORRENTE NOMINAL DE 16A - FORNECIMENTO E INSTALAÇÃO. AF_10/2020</t>
  </si>
  <si>
    <t>2.0 MOVIMENTAÇÃO DE TERRA</t>
  </si>
  <si>
    <t>3.0 ESTRUTURAS DE CONCRETO ARMADO</t>
  </si>
  <si>
    <t>4.0 SISTEMA DE VEDAÇÃO VERTICAL</t>
  </si>
  <si>
    <t>3.2 PILARES</t>
  </si>
  <si>
    <t>3.3 VIGAS</t>
  </si>
  <si>
    <t>FORNECIMENTO E INSTALAÇÃO DE PLACA DE OBRA COM CHAPA GALVANIZADA E ESTRUTURA DE MADEIRA. AF_03/2022_PS</t>
  </si>
  <si>
    <t>LIMPEZA MECANIZADA DE CAMADA VEGETAL, VEGETAÇÃO E PEQUENAS ÁRVORES (DIÂMETRO DE TRONCO MENOR QUE 0,20 M), COM TRATOR DE ESTEIRAS.AF_05/2018</t>
  </si>
  <si>
    <t>REGULARIZAÇÃO DE SUPERFÍCIES COM MOTONIVELADORA. AF_11/2019</t>
  </si>
  <si>
    <t>ESCAVAÇÃO MANUAL PARA BLOCO DE COROAMENTO OU SAPATA (INCLUINDO ESCAVAÇÃO PARA COLOCAÇÃO DE FÔRMAS). AF_06/2017</t>
  </si>
  <si>
    <t>EXECUÇÃO E COMPACTAÇÃO DE ATERRO COM SOLO PREDOMINANTEMENTE ARGILOSO - EXCLUSIVE SOLO, ESCAVAÇÃO, CARGA E TRANSPORTE. AF_11/2019</t>
  </si>
  <si>
    <t>3.1 SAPATAS E BALDRAMES</t>
  </si>
  <si>
    <t>3.1.1</t>
  </si>
  <si>
    <t>3.1.2</t>
  </si>
  <si>
    <t>3.1.3</t>
  </si>
  <si>
    <t>LASTRO DE CONCRETO MAGRO, APLICADO EM BLOCOS DE COROAMENTO OU SAPATAS, ESPESSURA DE 3 CM. AF_08/2017</t>
  </si>
  <si>
    <t>FABRICAÇÃO, MONTAGEM E DESMONTAGEM DE FÔRMA PARA SAPATA, EM MADEIRA SERRADA, E=25 MM, 4 UTILIZAÇÕES. AF_06/2017</t>
  </si>
  <si>
    <t>ARMAÇÃO DE BLOCO, VIGA BALDRAME OU SAPATA UTILIZANDO AÇO CA-50 DE 8 MM - MONTAGEM. AF_06/2017</t>
  </si>
  <si>
    <t>ARMAÇÃO DE BLOCO, VIGA BALDRAME OU SAPATA UTILIZANDO AÇO CA-50 DE 10 MM - MONTAGEM. AF_06/2017</t>
  </si>
  <si>
    <t>3.1.4</t>
  </si>
  <si>
    <t>3.1.5</t>
  </si>
  <si>
    <t>3.1.6</t>
  </si>
  <si>
    <t>ARMAÇÃO DE BLOCO, VIGA BALDRAME E SAPATA UTILIZANDO AÇO CA-60 DE 5 MM - MONTAGEM. AF_06/2017</t>
  </si>
  <si>
    <t>3.1.7</t>
  </si>
  <si>
    <t>3.1.8</t>
  </si>
  <si>
    <t>FABRICAÇÃO DE FÔRMA PARA PILARES E ESTRUTURAS SIMILARES, EM MADEIRA SERRADA, E=25 MM. AF_09/2020</t>
  </si>
  <si>
    <t>IMPERMEABILIZAÇÃO DE SUPERFÍCIE COM EMULSÃO ASFÁLTICA, 2 DEMÃOS. AF_09/2023</t>
  </si>
  <si>
    <t>ARMAÇÃO DE PILAR OU VIGA DE ESTRUTURA CONVENCIONAL DE CONCRETO ARMADO UTILIZANDO AÇO CA-50 DE 10,0 MM - MONTAGEM. AF_06/2022</t>
  </si>
  <si>
    <t>ARMAÇÃO DE PILAR OU VIGA DE ESTRUTURA CONVENCIONAL DE CONCRETO ARMADO UTILIZANDO AÇO CA-60 DE 5,0 MM - MONTAGEM. AF_06/2022</t>
  </si>
  <si>
    <t>3.2.1</t>
  </si>
  <si>
    <t>3.2.2</t>
  </si>
  <si>
    <t>3.2.3</t>
  </si>
  <si>
    <t>3.2.4</t>
  </si>
  <si>
    <t>CONCRETAGEM DE PILARES, FCK = 25 MPA,  COM USO DE BALDES - LANÇAMENTO, ADENSAMENTO E ACABAMENTO. AF_02/2022</t>
  </si>
  <si>
    <t>3.3.1</t>
  </si>
  <si>
    <t>LAJE PRÉ-MOLDADA UNIDIRECIONAL, BIAPOIADA, PARA FORRO, ENCHIMENTO EM CERÂMICA, VIGOTA CONVENCIONAL, ALTURA TOTAL DA LAJE (ENCHIMENTO+CAPA) = (8+3). AF_11/2020_PA</t>
  </si>
  <si>
    <t>3.4.1</t>
  </si>
  <si>
    <t>3.3.2</t>
  </si>
  <si>
    <t>3.3.3</t>
  </si>
  <si>
    <t>FABRICAÇÃO DE FÔRMA PARA VIGAS, COM MADEIRA SERRADA, E = 25 MM. AF_09/2020</t>
  </si>
  <si>
    <t>ARMAÇÃO DE PILAR OU VIGA DE ESTRUTURA CONVENCIONAL DE CONCRETO ARMADO UTILIZANDO AÇO CA-50 DE 8,0 MM - MONTAGEM. AF_06/2022</t>
  </si>
  <si>
    <t>CONCRETAGEM DE VIGAS E LAJES, FCK=25 MPA, PARA QUALQUER TIPO DE LAJE COM BALDES EM EDIFICAÇÃO TÉRREA - LANÇAMENTO, ADENSAMENTO E ACABAMENTO. AF_02/2022</t>
  </si>
  <si>
    <t>CHAPISCO APLICADO EM ALVENARIA (SEM PRESENÇA DE VÃOS) E ESTRUTURAS DE CONCRETO DE FACHADA, COM COLHER DE PEDREIRO.  ARGAMASSA TRAÇO 1:3 COM PREPARO EM BETONEIRA 400L. AF_10/2022</t>
  </si>
  <si>
    <t>MASSA ÚNICA, PARA RECEBIMENTO DE PINTURA, EM ARGAMASSA TRAÇO 1:2:8, PREPARO MANUAL, APLICADA MANUALMENTE EM FACES INTERNAS DE PAREDES, ESPESSURA DE 20MM, COM EXECUÇÃO DE TALISCAS. AF_06/2014</t>
  </si>
  <si>
    <t>ACABAMENTO POLIDO PARA PISO DE CONCRETO ARMADO OU LAJE SOBRE SOLO DE ALTA RESISTÊNCIA. AF_09/2021</t>
  </si>
  <si>
    <t>5.0 REVESTIMENTOS INTERNOS E EXTERNOS</t>
  </si>
  <si>
    <t>6.0 SISTEMA DE PISO</t>
  </si>
  <si>
    <t>6.1</t>
  </si>
  <si>
    <t>6.2</t>
  </si>
  <si>
    <t>Junta serrada seca, seção transversal dim. 5 x 10 a 40mm.</t>
  </si>
  <si>
    <t>TRATAMENTO DE JUNTA SERRADA, COM TARUGO DE POLIETILENO E SELANTE À BASE DE SILICONE. AF_09/2023</t>
  </si>
  <si>
    <t>ORSE</t>
  </si>
  <si>
    <t>APLICAÇÃO MANUAL DE MASSA ACRÍLICA EM PAREDES EXTERNAS DE CASAS, DUAS DEMÃOS. AF_05/2017</t>
  </si>
  <si>
    <t>PINTURA COM TINTA ACRÍLICA DE ACABAMENTO PULVERIZADA SOBRE SUPERFÍCIES METÁLICAS (EXCETO PERFIL) EXECUTADO EM OBRA (02 DEMÃOS). AF_01/2020_PE</t>
  </si>
  <si>
    <t>ALAMBRADO PARA QUADRA POLIESPORTIVA, ESTRUTURADO POR TUBOS DE ACO GALVANIZADO, (MONTANTES COM DIAMETRO 2", TRAVESSAS E ESCORAS COM DIÂMETRO 1 ¼), COM TELA DE ARAME GALVANIZADO, FIO 10 BWG E MALHA QUADRADA 5X5CM (EXCETO MURETA). AF_03/2021</t>
  </si>
  <si>
    <t>CONJUNTO PARA FUTSAL COM TRAVES OFICIAIS DE 3,00 X 2,00 M EM TUBO DE ACO GALVANIZADO 3" COM REQUADRO EM TUBO DE 1", PINTURA EM PRIMER COM TINTA ESMALTE SINTETICO E REDES</t>
  </si>
  <si>
    <t>SEINFRA</t>
  </si>
  <si>
    <t>C1349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</si>
  <si>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</si>
  <si>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</si>
  <si>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</si>
  <si>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</si>
  <si>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</si>
  <si>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</si>
  <si>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</si>
  <si>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</si>
  <si>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</si>
  <si>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</si>
  <si>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</si>
  <si>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</si>
  <si>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</si>
  <si>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</si>
  <si>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</si>
  <si>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</si>
  <si>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ASSENTAMENTO DE GUIA (MEIO-FIO) EM TRECHO RETO, CONFECCIONADA EM CONCRETO PRÉ-FABRICADO, DIMENSÕES 100X15X13X30 CM (COMPRIMENTO X BASE INFERIOR X BASE SUPERIOR X ALTURA), PARA VIAS URBANAS (USO VIÁRIO). AF_06/2016</t>
  </si>
  <si>
    <t>Refletor Slim LED 200W de potência, branco Frio, 6500k, Autovolt, marca G-light ou similar</t>
  </si>
  <si>
    <t>QUADRO DE DISTRIBUIÇÃO DE ENERGIA EM CHAPA DE AÇO GALVANIZADO, DE EMBUTIR, COM BARRAMENTO TRIFÁSICO, PARA 12 DISJUNTORES DIN 100A - FORNECIMENTO E INSTALAÇÃO. AF_10/2020</t>
  </si>
  <si>
    <t>CABO DE COBRE FLEXÍVEL ISOLADO, 4 MM², ANTI-CHAMA 450/750 V, PARA CIRCUITOS TERMINAIS - FORNECIMENTO E INSTALAÇÃO. AF_03/2023</t>
  </si>
  <si>
    <t>LIMPEZA DE SUPERFÍCIE COM JATO DE ALTA PRESSÃO. AF_04/2019</t>
  </si>
  <si>
    <t>PORTÃO EM ESTRUTURA DE TUBOS METÁLCOS PINTADOS COM TELA DE AÇO GALVANIZADO BWG 10, MALHA DE 5 CM.- UND</t>
  </si>
  <si>
    <t>TELA DE ARAME GALVANIZADA QUADRANGULAR / LOSANGULAR, FIO 3,4 MM (10 BWG), MALHA 5 X 5 CM, H = 2 M</t>
  </si>
  <si>
    <t>TUBO ACO GALVANIZADO COM COSTURA, CLASSE MEDIA, DN 2", E = *3,65* MM, PESO *5,10* KG/M (NBR 5580)</t>
  </si>
  <si>
    <t>CONJUNTO PARA QUADRA DE VOLEI OFICIAL COM POSTES EM TUBO DE ACO GALVANIZADO 3", H = *255* CM, PINTURA EM TINTA ESMALTE SINTETICO, REDE DE NYLON COM 2 MM, MALHA 10 X 10 CM E ANTENAS OFICIAIS</t>
  </si>
  <si>
    <t>C1351</t>
  </si>
  <si>
    <t>ESCAVAÇÃO MANUAL DE VALA PARA VIGA BALDRAME (INCLUINDO ESCAVAÇÃO PARA COLOCAÇÃO DE FÔRMAS). AF_06/2017</t>
  </si>
  <si>
    <t>18*36</t>
  </si>
  <si>
    <t>LOCACAO CONVENCIONAL DE OBRA, UTILIZANDO GABARITO DE TÁBUAS CORRIDAS PONTALETADAS A CADA 2,00M -  2 UTILIZAÇÕES. AF_10/2018</t>
  </si>
  <si>
    <t>REATERRO MANUAL DE VALAS, COM PLACA VIBRATÓRIA. AF_08/2023</t>
  </si>
  <si>
    <t>ARQUIBANCADA</t>
  </si>
  <si>
    <t>QUADRA</t>
  </si>
  <si>
    <t>DESCONTOS</t>
  </si>
  <si>
    <t>3.3.4</t>
  </si>
  <si>
    <t>3.3 LAJE DA ARQUIBANCADA</t>
  </si>
  <si>
    <t>3.4 LAJE DA ARQUIBANCADA</t>
  </si>
  <si>
    <r>
      <t>ALVENARIA DE EMBASAMENTO COM BLOCO ESTRUTURAL DE CERÂMICA, DE 14X19X29CM E ARGAMASSA DE ASSENTAMENTO COM PREPARO EM BETONEIRA. AF_05/2020 (</t>
    </r>
    <r>
      <rPr>
        <b/>
        <sz val="10"/>
        <rFont val="Arial"/>
        <family val="2"/>
      </rPr>
      <t>ARQUIBANCADA</t>
    </r>
    <r>
      <rPr>
        <sz val="10"/>
        <rFont val="Arial"/>
        <family val="2"/>
      </rPr>
      <t>)</t>
    </r>
  </si>
  <si>
    <t>PAREDES</t>
  </si>
  <si>
    <t>6.6</t>
  </si>
  <si>
    <t>ARMAÇÃO PARA EXECUÇÃO DE RADIER, PISO DE CONCRETO OU LAJE SOBRE SOLO, COM USO DE TELA Q-92. AF_09/2021</t>
  </si>
  <si>
    <r>
      <t>PINTURA DE PISO COM TINTA ACRÍLICA, APLICAÇÃO MANUAL, 3 DEMÃOS, INCLUSO FUNDO PREPARADOR. AF_05/2021 (</t>
    </r>
    <r>
      <rPr>
        <b/>
        <sz val="10"/>
        <rFont val="Arial"/>
        <family val="2"/>
      </rPr>
      <t>DEMARCAÇÃO</t>
    </r>
    <r>
      <rPr>
        <sz val="10"/>
        <rFont val="Arial"/>
        <family val="2"/>
      </rPr>
      <t>)</t>
    </r>
  </si>
  <si>
    <t>ALAMBRADOS</t>
  </si>
  <si>
    <t>LATERAIS</t>
  </si>
  <si>
    <t>CABO DE COBRE FLEXÍVEL ISOLADO, 1,5 MM², ANTI-CHAMA 450/750 V, PARA CIRCUITOS TERMINAIS - FORNECIMENTO E INSTALAÇÃO. AF_03/2023</t>
  </si>
  <si>
    <t>SERVIÇOS FINAIS</t>
  </si>
  <si>
    <t>ILUMINAÇÃO</t>
  </si>
  <si>
    <t>ALAMBRADOS, EQUIPAMENTOS E ARQUIBANCADA</t>
  </si>
  <si>
    <t>PINTURA E ACABAMENTOS</t>
  </si>
  <si>
    <t>SISTEMA DE PISO</t>
  </si>
  <si>
    <t>REVESTIMENTOS INTERNOS E EXTERNOS</t>
  </si>
  <si>
    <t>SISTEMA DE VEDAÇÃO VERTICAL</t>
  </si>
  <si>
    <t>ESTRUTURAS DE CONCRETO ARMADO</t>
  </si>
  <si>
    <t>MOVIMENTAÇÃO DE TERRA</t>
  </si>
  <si>
    <t>Valor Geral (SEM BDI):</t>
  </si>
  <si>
    <t>CONSTRUÇÃO DE QUADRAS COBERTAS COM ARQUIBANCADA NO MUNICÍPIO DE AFRÂNIO/PE</t>
  </si>
  <si>
    <t>ARQUIBANCADAS</t>
  </si>
  <si>
    <t>4.3</t>
  </si>
  <si>
    <t>ALVENARIA DE VEDAÇÃO COM ELEMENTO VAZADO DE CERÂMICA (COBOGÓ) DE 7X20X20CM E ARGAMASSA DE ASSENTAMENTO COM PREPARO EM BETONEIRA. AF_05/2020</t>
  </si>
  <si>
    <t>COBOGÓ 1º VIGAMENTO</t>
  </si>
  <si>
    <t>COBOGÓ 2º VIGAMENTO</t>
  </si>
  <si>
    <t>ESTRUTURA METÁLICA DE PILARES E COBERTURA EM AÇO ASTM A36, INCLUSO PERFIS METÁLICOS, CHAPAS METÁLICAS E PINTURA</t>
  </si>
  <si>
    <t>TELHAMENTO COM TELHA DE AÇO/ALUMÍNIO E = 0,5 MM, COM ATÉ 2 ÁGUAS, INCLUSO IÇAMENTO. AF_07/2019</t>
  </si>
  <si>
    <t>CALHA EM CHAPA DE AÇO GALVANIZADO NÚMERO 24, DESENVOLVIMENTO DE 50 CM, INCLUSO TRANSPORTE VERTICAL. AF_07/2019</t>
  </si>
  <si>
    <t>C5202</t>
  </si>
  <si>
    <t>CUMEEIRA ONDULADA DE ALUMÍNIO</t>
  </si>
  <si>
    <t>7.5</t>
  </si>
  <si>
    <t>7.6</t>
  </si>
  <si>
    <t>7.7</t>
  </si>
  <si>
    <t>7.8</t>
  </si>
  <si>
    <t>7.9</t>
  </si>
  <si>
    <t>7.10</t>
  </si>
  <si>
    <t>7.11</t>
  </si>
  <si>
    <t>TUBO PVC, SÉRIE R, ÁGUA PLUVIAL, DN 100 MM, FORNECIDO E INSTALADO EM CONDUTORES VERTICAIS DE ÁGUAS PLUVIAIS. AF_06/2022</t>
  </si>
  <si>
    <t>TUBO PVC, SÉRIE R, ÁGUA PLUVIAL, DN 150 MM, FORNECIDO E INSTALADO EM CONDUTORES VERTICAIS DE ÁGUAS PLUVIAIS. AF_06/2022</t>
  </si>
  <si>
    <t>JOELHO 45 GRAUS, PVC, SERIE NORMAL, ESGOTO PREDIAL, DN 100 MM, JUNTA ELÁSTICA, FORNECIDO E INSTALADO EM RAMAL DE DESCARGA OU RAMAL DE ESGOTO SANITÁRIO. AF_08/2022</t>
  </si>
  <si>
    <t>JOELHO 90 GRAUS, PVC, SERIE NORMAL, ESGOTO PREDIAL, DN 100 MM, JUNTA ELÁSTICA, FORNECIDO E INSTALADO EM RAMAL DE DESCARGA OU RAMAL DE ESGOTO SANITÁRIO. AF_08/2022</t>
  </si>
  <si>
    <t>JUNÇÃO SIMPLES, PVC, SERIE R, ÁGUA PLUVIAL, DN 100 X 100 MM, JUNTA ELÁSTICA, FORNECIDO E INSTALADO EM RAMAL DE ENCAMINHAMENTO. AF_06/2022</t>
  </si>
  <si>
    <t>CAIXA ENTERRADA HIDRÁULICA RETANGULAR, EM ALVENARIA COM BLOCOS DE CONCRETO, DIMENSÕES INTERNAS: 0,8X0,8X0,6 M PARA REDE DE ESGOTO. AF_12/2020</t>
  </si>
  <si>
    <t xml:space="preserve">TUBO PVC, SÉRIE R, ÁGUA PLUVIAL, DN 200 MM, FORNECIDO E INSTALADO EM CONDUTORES VERTICAIS DE ÁGUAS PLUVIAIS. </t>
  </si>
  <si>
    <t>8.0 PINTURA E ACABAMENTOS</t>
  </si>
  <si>
    <t>9.0 ALAMBRADOS, EQUIPAMENTOS E ARQUIBANCADA</t>
  </si>
  <si>
    <t>10.0 ILUMINAÇÃO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</si>
  <si>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</si>
  <si>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</si>
  <si>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</si>
  <si>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</si>
  <si>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</si>
  <si>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</si>
  <si>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</si>
  <si>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</si>
  <si>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</si>
  <si>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11.0 SERVIÇOS FINAIS</t>
  </si>
  <si>
    <t>11.1</t>
  </si>
  <si>
    <t>7.0 SISTEMA DE COBERTURA E DRENAGEM PLUVIAL</t>
  </si>
  <si>
    <t>S1=S8=S21=S28</t>
  </si>
  <si>
    <t>S2=S3=S4=S5=S6=S7=S22=S23=S24=S25=S26=S27</t>
  </si>
  <si>
    <t>S9=S10=S19=S20</t>
  </si>
  <si>
    <t>S11=S12=S13=S14=S15=S16=S17=S18</t>
  </si>
  <si>
    <t>3.1 FUNDAÇÕES E BALDRAMES</t>
  </si>
  <si>
    <t>3.1.9</t>
  </si>
  <si>
    <t>ARMAÇÃO DE BLOCO, VIGA BALDRAME E SAPATA UTILIZANDO AÇO CA-50 DE 12,5 MM - MONTAGEM. AF_06/2017</t>
  </si>
  <si>
    <t>ARMAÇÃO DE BLOCO, VIGA BALDRAME E SAPATA UTILIZANDO AÇO CA-50 DE 16 MM - MONTAGEM. AF_06/2017</t>
  </si>
  <si>
    <t>3.2.5</t>
  </si>
  <si>
    <t>ARMAÇÃO DE PILAR OU VIGA DE ESTRUTURA CONVENCIONAL DE CONCRETO ARMADO UTILIZANDO AÇO CA-50 DE 12,5 MM - MONTAGEM. AF_06/2022</t>
  </si>
  <si>
    <t>3.2.6</t>
  </si>
  <si>
    <t>ARMAÇÃO DE PILAR OU VIGA DE ESTRUTURA CONVENCIONAL DE CONCRETO ARMADO UTILIZANDO AÇO CA-50 DE 16 MM - MONTAGEM. AF_06/2022</t>
  </si>
  <si>
    <t>ARMAÇÃO DE PILAR OU VIGA DE ESTRUTURA CONVENCIONAL DE CONCRETO ARMADO UTILIZANDO AÇO CA-50 DE 6,3 MM - MONTAGEM. AF_06/2022</t>
  </si>
  <si>
    <t>3.3.5</t>
  </si>
  <si>
    <t>3.3.6</t>
  </si>
  <si>
    <t>ARQUIBANCADAS - DEGRAU INFERIOR</t>
  </si>
  <si>
    <t>ARQUIBANCADAS - DEGRAU SUPERIOR</t>
  </si>
  <si>
    <t>DISJUNTOR MONOPOLAR TIPO DIN, CORRENTE NOMINAL DE 10A - FORNECIMENTO E INSTALAÇÃO. AF_10/2020</t>
  </si>
  <si>
    <t>CABO DE COBRE FLEXÍVEL ISOLADO, 10 MM², ANTI-CHAMA 450/750 V, PARA DISTRIBUIÇÃO - FORNECIMENTO E INSTALAÇÃO. AF_12/2015</t>
  </si>
  <si>
    <t>ELETRODUTO RÍGIDO ROSCÁVEL, PVC, DN 32 MM (1"), PARA CIRCUITOS TERMINAIS, INSTALADO EM FORRO - FORNECIMENTO E INSTALAÇÃO. AF_03/2023</t>
  </si>
  <si>
    <t>ELETRODUTO RÍGIDO ROSCÁVEL, PVC, DN 40 MM (1 1/4"), PARA CIRCUITOS TERMINAIS, INSTALADO EM FORRO - FORNECIMENTO E INSTALAÇÃO. AF_03/2023</t>
  </si>
  <si>
    <t>ELETRODUTO RÍGIDO ROSCÁVEL, PVC, DN 50 MM (1 1/2"), PARA REDE ENTERRADA DE DISTRIBUIÇÃO DE ENERGIA ELÉTRICA - FORNECIMENTO E INSTALAÇÃO. AF_12/2021</t>
  </si>
  <si>
    <t>SISTEMA DE COBERTURA E DRENAGEM PLUVIAL</t>
  </si>
  <si>
    <t>DEZ/2023</t>
  </si>
  <si>
    <t>SECRETARIA MUNICIPAL DE EDUCAÇÃO</t>
  </si>
  <si>
    <t>Município de Afrânio/PE</t>
  </si>
  <si>
    <t>SINAPI 10/2023 | ORSE 10/2023 | SEINFRA 028
NÃO DESONERADO</t>
  </si>
</sst>
</file>

<file path=xl/styles.xml><?xml version="1.0" encoding="utf-8"?>
<styleSheet xmlns="http://schemas.openxmlformats.org/spreadsheetml/2006/main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#,##0.0000"/>
    <numFmt numFmtId="180" formatCode="_-&quot;R$&quot;\ * #,##0.0000_-;\-&quot;R$&quot;\ * #,##0.0000_-;_-&quot;R$&quot;\ * &quot;-&quot;??_-;_-@_-"/>
    <numFmt numFmtId="181" formatCode="_(&quot;R$&quot;* #,##0.00_);_(&quot;R$&quot;* \(#,##0.00\);_(&quot;R$&quot;* &quot;-&quot;??_);_(@_)"/>
    <numFmt numFmtId="182" formatCode="_(* #,##0.00000_);_(* \(#,##0.00000\);_(* &quot;-&quot;??_);_(@_)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SansSerif"/>
      <charset val="2"/>
    </font>
    <font>
      <b/>
      <sz val="8"/>
      <color indexed="8"/>
      <name val="Arial"/>
      <family val="2"/>
    </font>
    <font>
      <sz val="9"/>
      <name val="Arial"/>
      <family val="2"/>
    </font>
    <font>
      <sz val="14"/>
      <name val="Calibri"/>
      <family val="2"/>
      <scheme val="minor"/>
    </font>
    <font>
      <b/>
      <sz val="8"/>
      <name val="AvantGarde Bk BT"/>
    </font>
    <font>
      <b/>
      <sz val="9"/>
      <name val="AvantGarde Bk BT"/>
    </font>
    <font>
      <sz val="9"/>
      <name val="AvantGarde Bk BT"/>
    </font>
    <font>
      <b/>
      <sz val="9"/>
      <color theme="1"/>
      <name val="Avanta"/>
    </font>
    <font>
      <sz val="11"/>
      <color theme="1"/>
      <name val="Avanta"/>
    </font>
    <font>
      <sz val="10"/>
      <name val="AvantGarde Bk BT"/>
    </font>
    <font>
      <b/>
      <sz val="10"/>
      <color theme="1"/>
      <name val="Avanta"/>
    </font>
    <font>
      <b/>
      <sz val="11"/>
      <color theme="1"/>
      <name val="Avanta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.7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CC33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58">
    <xf numFmtId="0" fontId="0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165" fontId="16" fillId="0" borderId="0" applyBorder="0" applyProtection="0"/>
    <xf numFmtId="165" fontId="16" fillId="0" borderId="0" applyBorder="0" applyProtection="0"/>
    <xf numFmtId="0" fontId="10" fillId="0" borderId="0"/>
    <xf numFmtId="0" fontId="16" fillId="0" borderId="0" applyNumberFormat="0" applyBorder="0" applyProtection="0"/>
    <xf numFmtId="0" fontId="17" fillId="0" borderId="0" applyNumberFormat="0" applyBorder="0" applyProtection="0"/>
    <xf numFmtId="166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7" fillId="0" borderId="0"/>
    <xf numFmtId="0" fontId="19" fillId="0" borderId="0"/>
    <xf numFmtId="0" fontId="7" fillId="0" borderId="0"/>
    <xf numFmtId="0" fontId="1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Border="0" applyProtection="0"/>
    <xf numFmtId="167" fontId="20" fillId="0" borderId="0" applyBorder="0" applyProtection="0"/>
    <xf numFmtId="164" fontId="7" fillId="0" borderId="0" applyFont="0" applyFill="0" applyBorder="0" applyAlignment="0" applyProtection="0"/>
    <xf numFmtId="165" fontId="16" fillId="0" borderId="0" applyBorder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168" fontId="7" fillId="0" borderId="0" applyFont="0" applyFill="0" applyBorder="0" applyAlignment="0" applyProtection="0"/>
    <xf numFmtId="169" fontId="22" fillId="0" borderId="0">
      <protection locked="0"/>
    </xf>
    <xf numFmtId="0" fontId="8" fillId="5" borderId="5" applyFill="0" applyBorder="0" applyAlignment="0" applyProtection="0">
      <alignment vertical="center"/>
      <protection locked="0"/>
    </xf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10" fillId="0" borderId="0"/>
    <xf numFmtId="173" fontId="22" fillId="0" borderId="0">
      <protection locked="0"/>
    </xf>
    <xf numFmtId="173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38" fontId="13" fillId="2" borderId="0" applyNumberFormat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10" fontId="13" fillId="6" borderId="1" applyNumberFormat="0" applyBorder="0" applyAlignment="0" applyProtection="0"/>
    <xf numFmtId="0" fontId="7" fillId="0" borderId="0">
      <alignment horizontal="centerContinuous" vertical="justify"/>
    </xf>
    <xf numFmtId="0" fontId="26" fillId="0" borderId="0" applyAlignment="0">
      <alignment horizontal="center"/>
    </xf>
    <xf numFmtId="44" fontId="11" fillId="0" borderId="0" applyFont="0" applyFill="0" applyBorder="0" applyAlignment="0" applyProtection="0"/>
    <xf numFmtId="174" fontId="2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9" fillId="0" borderId="0">
      <alignment horizontal="left" vertical="center" indent="12"/>
    </xf>
    <xf numFmtId="0" fontId="13" fillId="0" borderId="5" applyBorder="0">
      <alignment horizontal="left" vertical="center" wrapText="1" indent="2"/>
      <protection locked="0"/>
    </xf>
    <xf numFmtId="0" fontId="13" fillId="0" borderId="5" applyBorder="0">
      <alignment horizontal="left" vertical="center" wrapText="1" indent="3"/>
      <protection locked="0"/>
    </xf>
    <xf numFmtId="10" fontId="7" fillId="0" borderId="0" applyFont="0" applyFill="0" applyBorder="0" applyAlignment="0" applyProtection="0"/>
    <xf numFmtId="175" fontId="22" fillId="0" borderId="0">
      <protection locked="0"/>
    </xf>
    <xf numFmtId="175" fontId="22" fillId="0" borderId="0">
      <protection locked="0"/>
    </xf>
    <xf numFmtId="176" fontId="22" fillId="0" borderId="0">
      <protection locked="0"/>
    </xf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8" fontId="29" fillId="0" borderId="0" applyFont="0" applyFill="0" applyBorder="0" applyAlignment="0" applyProtection="0"/>
    <xf numFmtId="177" fontId="30" fillId="0" borderId="0">
      <protection locked="0"/>
    </xf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/>
    <xf numFmtId="0" fontId="31" fillId="0" borderId="0">
      <protection locked="0"/>
    </xf>
    <xf numFmtId="0" fontId="31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6" fillId="0" borderId="0"/>
    <xf numFmtId="164" fontId="3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3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centerContinuous" vertical="justify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centerContinuous" vertical="justify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>
      <alignment horizontal="centerContinuous" vertical="justify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3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>
      <alignment horizontal="centerContinuous" vertical="justify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</cellStyleXfs>
  <cellXfs count="265">
    <xf numFmtId="0" fontId="0" fillId="0" borderId="0" xfId="0"/>
    <xf numFmtId="0" fontId="6" fillId="0" borderId="1" xfId="11" applyFont="1" applyBorder="1" applyAlignment="1">
      <alignment horizontal="center" vertical="center"/>
    </xf>
    <xf numFmtId="0" fontId="6" fillId="0" borderId="1" xfId="173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173" applyBorder="1" applyAlignment="1">
      <alignment horizontal="center" vertical="center"/>
    </xf>
    <xf numFmtId="164" fontId="6" fillId="0" borderId="1" xfId="25" quotePrefix="1" applyFont="1" applyFill="1" applyBorder="1" applyAlignment="1">
      <alignment horizontal="right" vertical="center"/>
    </xf>
    <xf numFmtId="0" fontId="38" fillId="0" borderId="21" xfId="173" applyFont="1" applyBorder="1" applyAlignment="1" applyProtection="1">
      <alignment vertical="center"/>
      <protection hidden="1"/>
    </xf>
    <xf numFmtId="0" fontId="38" fillId="0" borderId="21" xfId="173" applyFont="1" applyBorder="1" applyProtection="1">
      <protection hidden="1"/>
    </xf>
    <xf numFmtId="0" fontId="37" fillId="0" borderId="21" xfId="173" applyFont="1" applyBorder="1" applyProtection="1">
      <protection hidden="1"/>
    </xf>
    <xf numFmtId="0" fontId="37" fillId="0" borderId="22" xfId="173" applyFont="1" applyBorder="1" applyProtection="1">
      <protection hidden="1"/>
    </xf>
    <xf numFmtId="0" fontId="37" fillId="0" borderId="23" xfId="173" applyFont="1" applyBorder="1" applyProtection="1">
      <protection hidden="1"/>
    </xf>
    <xf numFmtId="0" fontId="37" fillId="4" borderId="11" xfId="173" applyFont="1" applyFill="1" applyBorder="1" applyProtection="1">
      <protection hidden="1"/>
    </xf>
    <xf numFmtId="0" fontId="37" fillId="0" borderId="1" xfId="173" applyFont="1" applyBorder="1" applyProtection="1">
      <protection hidden="1"/>
    </xf>
    <xf numFmtId="10" fontId="37" fillId="10" borderId="1" xfId="173" applyNumberFormat="1" applyFont="1" applyFill="1" applyBorder="1" applyProtection="1">
      <protection hidden="1"/>
    </xf>
    <xf numFmtId="0" fontId="39" fillId="0" borderId="12" xfId="173" applyFont="1" applyBorder="1" applyAlignment="1" applyProtection="1">
      <alignment horizontal="center"/>
      <protection hidden="1"/>
    </xf>
    <xf numFmtId="0" fontId="37" fillId="0" borderId="11" xfId="173" applyFont="1" applyBorder="1" applyProtection="1">
      <protection hidden="1"/>
    </xf>
    <xf numFmtId="0" fontId="39" fillId="0" borderId="23" xfId="173" applyFont="1" applyBorder="1" applyAlignment="1" applyProtection="1">
      <alignment horizontal="center"/>
      <protection hidden="1"/>
    </xf>
    <xf numFmtId="0" fontId="39" fillId="0" borderId="22" xfId="173" applyFont="1" applyBorder="1" applyProtection="1">
      <protection hidden="1"/>
    </xf>
    <xf numFmtId="10" fontId="39" fillId="0" borderId="22" xfId="173" applyNumberFormat="1" applyFont="1" applyBorder="1" applyProtection="1">
      <protection hidden="1"/>
    </xf>
    <xf numFmtId="0" fontId="37" fillId="0" borderId="6" xfId="173" applyFont="1" applyBorder="1"/>
    <xf numFmtId="0" fontId="37" fillId="0" borderId="0" xfId="173" applyFont="1"/>
    <xf numFmtId="0" fontId="37" fillId="0" borderId="7" xfId="173" applyFont="1" applyBorder="1"/>
    <xf numFmtId="0" fontId="40" fillId="0" borderId="6" xfId="173" applyFont="1" applyBorder="1"/>
    <xf numFmtId="0" fontId="40" fillId="0" borderId="0" xfId="173" applyFont="1"/>
    <xf numFmtId="0" fontId="40" fillId="0" borderId="7" xfId="173" applyFont="1" applyBorder="1"/>
    <xf numFmtId="180" fontId="43" fillId="0" borderId="1" xfId="1955" applyNumberFormat="1" applyFont="1" applyBorder="1" applyAlignment="1" applyProtection="1">
      <alignment horizontal="right" vertical="top" wrapText="1"/>
    </xf>
    <xf numFmtId="0" fontId="0" fillId="0" borderId="1" xfId="0" applyBorder="1"/>
    <xf numFmtId="0" fontId="9" fillId="0" borderId="15" xfId="0" applyFont="1" applyBorder="1"/>
    <xf numFmtId="0" fontId="0" fillId="0" borderId="15" xfId="0" applyBorder="1"/>
    <xf numFmtId="0" fontId="9" fillId="0" borderId="7" xfId="0" applyFont="1" applyBorder="1"/>
    <xf numFmtId="0" fontId="0" fillId="0" borderId="7" xfId="0" applyBorder="1"/>
    <xf numFmtId="2" fontId="13" fillId="0" borderId="0" xfId="1957" applyNumberFormat="1" applyFont="1" applyAlignment="1" applyProtection="1">
      <alignment horizontal="left" vertical="center"/>
      <protection locked="0"/>
    </xf>
    <xf numFmtId="2" fontId="13" fillId="0" borderId="27" xfId="1957" applyNumberFormat="1" applyFont="1" applyBorder="1" applyAlignment="1" applyProtection="1">
      <alignment vertical="center"/>
      <protection locked="0"/>
    </xf>
    <xf numFmtId="2" fontId="13" fillId="0" borderId="7" xfId="1957" applyNumberFormat="1" applyFont="1" applyBorder="1" applyAlignment="1" applyProtection="1">
      <alignment horizontal="left" vertical="center"/>
      <protection locked="0"/>
    </xf>
    <xf numFmtId="2" fontId="13" fillId="6" borderId="28" xfId="1957" applyNumberFormat="1" applyFont="1" applyFill="1" applyBorder="1" applyAlignment="1" applyProtection="1">
      <alignment vertical="center"/>
      <protection locked="0"/>
    </xf>
    <xf numFmtId="2" fontId="13" fillId="6" borderId="29" xfId="1957" applyNumberFormat="1" applyFont="1" applyFill="1" applyBorder="1" applyAlignment="1" applyProtection="1">
      <alignment vertical="center"/>
      <protection locked="0"/>
    </xf>
    <xf numFmtId="2" fontId="13" fillId="6" borderId="30" xfId="1957" applyNumberFormat="1" applyFont="1" applyFill="1" applyBorder="1" applyAlignment="1" applyProtection="1">
      <alignment vertical="center"/>
      <protection locked="0"/>
    </xf>
    <xf numFmtId="2" fontId="13" fillId="6" borderId="31" xfId="1957" applyNumberFormat="1" applyFont="1" applyFill="1" applyBorder="1" applyAlignment="1" applyProtection="1">
      <alignment vertical="center"/>
      <protection locked="0"/>
    </xf>
    <xf numFmtId="2" fontId="13" fillId="6" borderId="32" xfId="1957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3" xfId="0" applyBorder="1"/>
    <xf numFmtId="2" fontId="13" fillId="0" borderId="6" xfId="1957" applyNumberFormat="1" applyFont="1" applyBorder="1" applyAlignment="1" applyProtection="1">
      <alignment horizontal="left" vertical="center"/>
      <protection locked="0"/>
    </xf>
    <xf numFmtId="2" fontId="13" fillId="0" borderId="34" xfId="1957" applyNumberFormat="1" applyFont="1" applyBorder="1" applyAlignment="1" applyProtection="1">
      <alignment horizontal="left" vertical="center"/>
      <protection locked="0"/>
    </xf>
    <xf numFmtId="0" fontId="0" fillId="6" borderId="29" xfId="0" applyFill="1" applyBorder="1" applyAlignment="1" applyProtection="1">
      <alignment vertical="center"/>
      <protection locked="0"/>
    </xf>
    <xf numFmtId="2" fontId="13" fillId="0" borderId="34" xfId="1957" applyNumberFormat="1" applyFont="1" applyBorder="1" applyAlignment="1" applyProtection="1">
      <alignment vertical="center"/>
      <protection locked="0"/>
    </xf>
    <xf numFmtId="2" fontId="13" fillId="0" borderId="4" xfId="1957" applyNumberFormat="1" applyFont="1" applyBorder="1" applyAlignment="1" applyProtection="1">
      <alignment vertical="center"/>
      <protection locked="0"/>
    </xf>
    <xf numFmtId="2" fontId="13" fillId="6" borderId="37" xfId="1957" applyNumberFormat="1" applyFont="1" applyFill="1" applyBorder="1" applyAlignment="1" applyProtection="1">
      <alignment vertical="center"/>
      <protection locked="0"/>
    </xf>
    <xf numFmtId="181" fontId="13" fillId="6" borderId="3" xfId="1955" applyNumberFormat="1" applyFont="1" applyFill="1" applyBorder="1" applyAlignment="1" applyProtection="1">
      <alignment vertical="center"/>
      <protection locked="0"/>
    </xf>
    <xf numFmtId="2" fontId="13" fillId="6" borderId="35" xfId="1957" applyNumberFormat="1" applyFont="1" applyFill="1" applyBorder="1" applyAlignment="1" applyProtection="1">
      <alignment vertical="center"/>
      <protection locked="0"/>
    </xf>
    <xf numFmtId="0" fontId="48" fillId="11" borderId="1" xfId="0" applyFont="1" applyFill="1" applyBorder="1" applyAlignment="1">
      <alignment horizontal="center" vertical="center"/>
    </xf>
    <xf numFmtId="0" fontId="48" fillId="11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164" fontId="50" fillId="0" borderId="1" xfId="25" applyFont="1" applyFill="1" applyBorder="1" applyAlignment="1">
      <alignment horizontal="left" vertical="center" wrapText="1"/>
    </xf>
    <xf numFmtId="44" fontId="50" fillId="0" borderId="1" xfId="1955" applyFont="1" applyFill="1" applyBorder="1" applyAlignment="1">
      <alignment horizontal="right" vertical="center" wrapText="1"/>
    </xf>
    <xf numFmtId="44" fontId="50" fillId="0" borderId="1" xfId="1955" applyFont="1" applyFill="1" applyBorder="1" applyAlignment="1">
      <alignment horizontal="left" vertical="center" wrapText="1"/>
    </xf>
    <xf numFmtId="44" fontId="51" fillId="3" borderId="1" xfId="0" applyNumberFormat="1" applyFont="1" applyFill="1" applyBorder="1"/>
    <xf numFmtId="44" fontId="55" fillId="3" borderId="1" xfId="0" applyNumberFormat="1" applyFont="1" applyFill="1" applyBorder="1"/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9" fillId="0" borderId="14" xfId="0" applyFont="1" applyBorder="1"/>
    <xf numFmtId="0" fontId="9" fillId="0" borderId="0" xfId="0" applyFont="1"/>
    <xf numFmtId="0" fontId="35" fillId="0" borderId="0" xfId="0" applyFont="1"/>
    <xf numFmtId="0" fontId="48" fillId="11" borderId="4" xfId="0" applyFont="1" applyFill="1" applyBorder="1" applyAlignment="1">
      <alignment horizontal="center" vertical="center" wrapText="1"/>
    </xf>
    <xf numFmtId="2" fontId="0" fillId="0" borderId="0" xfId="0" applyNumberFormat="1"/>
    <xf numFmtId="181" fontId="13" fillId="6" borderId="37" xfId="1955" applyNumberFormat="1" applyFont="1" applyFill="1" applyBorder="1" applyAlignment="1" applyProtection="1">
      <alignment vertical="center"/>
      <protection locked="0"/>
    </xf>
    <xf numFmtId="10" fontId="13" fillId="6" borderId="37" xfId="1956" applyNumberFormat="1" applyFont="1" applyFill="1" applyBorder="1" applyAlignment="1" applyProtection="1">
      <alignment vertical="center"/>
      <protection locked="0"/>
    </xf>
    <xf numFmtId="44" fontId="6" fillId="0" borderId="1" xfId="1955" quotePrefix="1" applyFont="1" applyFill="1" applyBorder="1" applyAlignment="1">
      <alignment horizontal="right" vertic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vertical="center"/>
    </xf>
    <xf numFmtId="0" fontId="0" fillId="0" borderId="38" xfId="0" applyBorder="1"/>
    <xf numFmtId="0" fontId="0" fillId="0" borderId="40" xfId="0" applyBorder="1"/>
    <xf numFmtId="10" fontId="9" fillId="0" borderId="0" xfId="0" applyNumberFormat="1" applyFont="1"/>
    <xf numFmtId="2" fontId="13" fillId="0" borderId="41" xfId="1957" applyNumberFormat="1" applyFont="1" applyBorder="1" applyAlignment="1" applyProtection="1">
      <alignment horizontal="left" vertical="center"/>
      <protection locked="0"/>
    </xf>
    <xf numFmtId="2" fontId="13" fillId="6" borderId="42" xfId="1957" applyNumberFormat="1" applyFont="1" applyFill="1" applyBorder="1" applyAlignment="1" applyProtection="1">
      <alignment vertical="center"/>
      <protection locked="0"/>
    </xf>
    <xf numFmtId="2" fontId="13" fillId="0" borderId="0" xfId="1957" applyNumberFormat="1" applyFont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0" fillId="0" borderId="41" xfId="0" applyBorder="1"/>
    <xf numFmtId="10" fontId="13" fillId="0" borderId="0" xfId="1956" applyNumberFormat="1" applyFont="1" applyFill="1" applyBorder="1" applyAlignment="1" applyProtection="1">
      <alignment vertical="center"/>
      <protection locked="0"/>
    </xf>
    <xf numFmtId="181" fontId="13" fillId="0" borderId="0" xfId="1955" applyNumberFormat="1" applyFont="1" applyFill="1" applyBorder="1" applyAlignment="1" applyProtection="1">
      <alignment vertical="center"/>
      <protection locked="0"/>
    </xf>
    <xf numFmtId="0" fontId="57" fillId="0" borderId="0" xfId="0" applyFont="1" applyAlignment="1">
      <alignment vertical="center"/>
    </xf>
    <xf numFmtId="0" fontId="43" fillId="3" borderId="1" xfId="0" applyFont="1" applyFill="1" applyBorder="1" applyAlignment="1">
      <alignment horizontal="center" vertical="center" wrapText="1"/>
    </xf>
    <xf numFmtId="0" fontId="44" fillId="3" borderId="0" xfId="0" applyFont="1" applyFill="1" applyAlignment="1">
      <alignment horizontal="left" vertical="top" wrapText="1"/>
    </xf>
    <xf numFmtId="0" fontId="44" fillId="3" borderId="7" xfId="0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top" wrapText="1"/>
    </xf>
    <xf numFmtId="179" fontId="43" fillId="0" borderId="1" xfId="0" applyNumberFormat="1" applyFont="1" applyBorder="1" applyAlignment="1">
      <alignment horizontal="right" vertical="top" wrapText="1"/>
    </xf>
    <xf numFmtId="44" fontId="43" fillId="0" borderId="1" xfId="1955" applyFont="1" applyBorder="1" applyAlignment="1" applyProtection="1">
      <alignment horizontal="right" vertical="top" wrapText="1"/>
    </xf>
    <xf numFmtId="0" fontId="44" fillId="0" borderId="1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 wrapText="1"/>
    </xf>
    <xf numFmtId="0" fontId="45" fillId="11" borderId="1" xfId="0" applyFont="1" applyFill="1" applyBorder="1" applyAlignment="1">
      <alignment horizontal="right" vertical="top" wrapText="1"/>
    </xf>
    <xf numFmtId="44" fontId="43" fillId="0" borderId="1" xfId="1955" applyFont="1" applyFill="1" applyBorder="1" applyAlignment="1" applyProtection="1">
      <alignment horizontal="right" vertical="top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45" fillId="0" borderId="1" xfId="0" applyFont="1" applyBorder="1" applyAlignment="1">
      <alignment vertical="top" wrapText="1"/>
    </xf>
    <xf numFmtId="0" fontId="45" fillId="11" borderId="5" xfId="0" applyFont="1" applyFill="1" applyBorder="1" applyAlignment="1">
      <alignment horizontal="right" vertical="center" wrapText="1"/>
    </xf>
    <xf numFmtId="44" fontId="45" fillId="0" borderId="1" xfId="1955" applyFont="1" applyBorder="1" applyAlignment="1" applyProtection="1">
      <alignment horizontal="right" vertical="top" wrapText="1"/>
    </xf>
    <xf numFmtId="0" fontId="0" fillId="0" borderId="0" xfId="0" applyAlignment="1">
      <alignment vertical="center"/>
    </xf>
    <xf numFmtId="2" fontId="13" fillId="0" borderId="6" xfId="1957" applyNumberFormat="1" applyFont="1" applyBorder="1" applyAlignment="1" applyProtection="1">
      <alignment vertical="center"/>
      <protection locked="0"/>
    </xf>
    <xf numFmtId="2" fontId="58" fillId="6" borderId="28" xfId="1957" applyNumberFormat="1" applyFont="1" applyFill="1" applyBorder="1" applyAlignment="1" applyProtection="1">
      <alignment vertical="center"/>
      <protection locked="0"/>
    </xf>
    <xf numFmtId="0" fontId="57" fillId="8" borderId="0" xfId="0" applyFont="1" applyFill="1" applyAlignment="1">
      <alignment horizontal="center" vertical="center"/>
    </xf>
    <xf numFmtId="0" fontId="8" fillId="11" borderId="47" xfId="758" applyFont="1" applyFill="1" applyBorder="1" applyAlignment="1">
      <alignment horizontal="center"/>
    </xf>
    <xf numFmtId="0" fontId="8" fillId="11" borderId="48" xfId="758" applyFont="1" applyFill="1" applyBorder="1" applyAlignment="1">
      <alignment horizontal="center"/>
    </xf>
    <xf numFmtId="0" fontId="8" fillId="11" borderId="48" xfId="758" applyFont="1" applyFill="1" applyBorder="1" applyAlignment="1">
      <alignment horizontal="right"/>
    </xf>
    <xf numFmtId="0" fontId="6" fillId="0" borderId="0" xfId="870"/>
    <xf numFmtId="0" fontId="6" fillId="0" borderId="11" xfId="758" applyBorder="1"/>
    <xf numFmtId="0" fontId="6" fillId="0" borderId="1" xfId="758" applyBorder="1" applyAlignment="1">
      <alignment horizontal="center"/>
    </xf>
    <xf numFmtId="0" fontId="6" fillId="0" borderId="1" xfId="758" applyBorder="1" applyAlignment="1">
      <alignment horizontal="right"/>
    </xf>
    <xf numFmtId="0" fontId="6" fillId="0" borderId="1" xfId="758" applyBorder="1"/>
    <xf numFmtId="0" fontId="6" fillId="0" borderId="11" xfId="758" applyBorder="1" applyAlignment="1">
      <alignment horizontal="center"/>
    </xf>
    <xf numFmtId="49" fontId="6" fillId="0" borderId="1" xfId="758" applyNumberFormat="1" applyBorder="1"/>
    <xf numFmtId="164" fontId="0" fillId="0" borderId="1" xfId="918" applyFont="1" applyBorder="1"/>
    <xf numFmtId="10" fontId="0" fillId="0" borderId="1" xfId="919" applyNumberFormat="1" applyFont="1" applyBorder="1"/>
    <xf numFmtId="9" fontId="6" fillId="4" borderId="1" xfId="919" applyFont="1" applyFill="1" applyBorder="1"/>
    <xf numFmtId="164" fontId="6" fillId="0" borderId="1" xfId="758" applyNumberFormat="1" applyBorder="1"/>
    <xf numFmtId="0" fontId="6" fillId="0" borderId="0" xfId="758"/>
    <xf numFmtId="164" fontId="0" fillId="0" borderId="0" xfId="918" applyFont="1"/>
    <xf numFmtId="10" fontId="0" fillId="0" borderId="6" xfId="919" applyNumberFormat="1" applyFont="1" applyBorder="1"/>
    <xf numFmtId="10" fontId="6" fillId="3" borderId="49" xfId="758" applyNumberFormat="1" applyFill="1" applyBorder="1"/>
    <xf numFmtId="10" fontId="55" fillId="3" borderId="1" xfId="1956" applyNumberFormat="1" applyFont="1" applyFill="1" applyBorder="1"/>
    <xf numFmtId="10" fontId="0" fillId="0" borderId="1" xfId="1956" applyNumberFormat="1" applyFont="1" applyBorder="1"/>
    <xf numFmtId="10" fontId="35" fillId="3" borderId="1" xfId="1956" applyNumberFormat="1" applyFont="1" applyFill="1" applyBorder="1"/>
    <xf numFmtId="43" fontId="53" fillId="0" borderId="0" xfId="0" applyNumberFormat="1" applyFont="1" applyAlignment="1">
      <alignment horizontal="center" vertical="center" wrapText="1"/>
    </xf>
    <xf numFmtId="44" fontId="53" fillId="0" borderId="0" xfId="0" applyNumberFormat="1" applyFont="1" applyAlignment="1">
      <alignment horizontal="center" vertical="center" wrapText="1"/>
    </xf>
    <xf numFmtId="2" fontId="13" fillId="6" borderId="37" xfId="1957" applyNumberFormat="1" applyFont="1" applyFill="1" applyBorder="1" applyAlignment="1" applyProtection="1">
      <alignment horizontal="left" vertical="center" wrapText="1"/>
      <protection locked="0"/>
    </xf>
    <xf numFmtId="0" fontId="0" fillId="0" borderId="0" xfId="1956" applyNumberFormat="1" applyFont="1"/>
    <xf numFmtId="0" fontId="6" fillId="0" borderId="0" xfId="0" applyFont="1"/>
    <xf numFmtId="164" fontId="50" fillId="0" borderId="1" xfId="25" applyFont="1" applyFill="1" applyBorder="1" applyAlignment="1">
      <alignment horizontal="right" vertical="center" wrapText="1"/>
    </xf>
    <xf numFmtId="164" fontId="50" fillId="0" borderId="1" xfId="1955" applyNumberFormat="1" applyFont="1" applyFill="1" applyBorder="1" applyAlignment="1">
      <alignment horizontal="right" vertical="center" wrapText="1"/>
    </xf>
    <xf numFmtId="182" fontId="50" fillId="0" borderId="1" xfId="25" applyNumberFormat="1" applyFont="1" applyFill="1" applyBorder="1" applyAlignment="1">
      <alignment horizontal="right" vertical="center" wrapText="1"/>
    </xf>
    <xf numFmtId="44" fontId="0" fillId="0" borderId="0" xfId="0" applyNumberFormat="1"/>
    <xf numFmtId="44" fontId="49" fillId="4" borderId="1" xfId="0" applyNumberFormat="1" applyFont="1" applyFill="1" applyBorder="1" applyAlignment="1">
      <alignment vertical="center" wrapText="1"/>
    </xf>
    <xf numFmtId="10" fontId="49" fillId="4" borderId="17" xfId="1956" applyNumberFormat="1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2" fontId="13" fillId="0" borderId="27" xfId="1957" applyNumberFormat="1" applyFont="1" applyBorder="1" applyAlignment="1" applyProtection="1">
      <alignment horizontal="left" wrapText="1"/>
      <protection locked="0"/>
    </xf>
    <xf numFmtId="2" fontId="13" fillId="0" borderId="34" xfId="1957" applyNumberFormat="1" applyFont="1" applyBorder="1" applyAlignment="1" applyProtection="1">
      <alignment horizontal="left" wrapText="1"/>
      <protection locked="0"/>
    </xf>
    <xf numFmtId="2" fontId="13" fillId="6" borderId="30" xfId="1957" applyNumberFormat="1" applyFont="1" applyFill="1" applyBorder="1" applyAlignment="1" applyProtection="1">
      <alignment horizontal="left" wrapText="1"/>
      <protection locked="0"/>
    </xf>
    <xf numFmtId="2" fontId="13" fillId="0" borderId="0" xfId="1957" applyNumberFormat="1" applyFont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173" applyBorder="1" applyAlignment="1">
      <alignment horizontal="left" wrapText="1"/>
    </xf>
    <xf numFmtId="0" fontId="53" fillId="0" borderId="0" xfId="0" applyFont="1" applyAlignment="1">
      <alignment horizontal="left" wrapText="1"/>
    </xf>
    <xf numFmtId="0" fontId="53" fillId="0" borderId="1" xfId="0" applyFont="1" applyBorder="1" applyAlignment="1">
      <alignment horizontal="center" vertical="center" wrapText="1"/>
    </xf>
    <xf numFmtId="43" fontId="0" fillId="0" borderId="0" xfId="0" applyNumberFormat="1"/>
    <xf numFmtId="2" fontId="50" fillId="0" borderId="1" xfId="25" applyNumberFormat="1" applyFont="1" applyFill="1" applyBorder="1" applyAlignment="1">
      <alignment horizontal="right" vertical="center" wrapText="1"/>
    </xf>
    <xf numFmtId="2" fontId="50" fillId="0" borderId="1" xfId="1955" applyNumberFormat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164" fontId="49" fillId="3" borderId="1" xfId="25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53" fillId="0" borderId="1" xfId="0" applyFont="1" applyBorder="1" applyAlignment="1">
      <alignment horizontal="left"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0" fontId="8" fillId="4" borderId="46" xfId="1956" applyNumberFormat="1" applyFont="1" applyFill="1" applyBorder="1"/>
    <xf numFmtId="44" fontId="6" fillId="4" borderId="51" xfId="1955" applyFont="1" applyFill="1" applyBorder="1"/>
    <xf numFmtId="44" fontId="8" fillId="4" borderId="46" xfId="1955" applyFont="1" applyFill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13" fillId="0" borderId="6" xfId="1957" applyNumberFormat="1" applyFont="1" applyBorder="1" applyAlignment="1" applyProtection="1">
      <alignment horizontal="left" vertical="center"/>
      <protection locked="0"/>
    </xf>
    <xf numFmtId="2" fontId="13" fillId="0" borderId="0" xfId="1957" applyNumberFormat="1" applyFont="1" applyAlignment="1" applyProtection="1">
      <alignment horizontal="left" vertical="center"/>
      <protection locked="0"/>
    </xf>
    <xf numFmtId="2" fontId="13" fillId="6" borderId="30" xfId="1957" applyNumberFormat="1" applyFont="1" applyFill="1" applyBorder="1" applyAlignment="1" applyProtection="1">
      <alignment horizontal="left" vertical="center" wrapText="1"/>
      <protection locked="0"/>
    </xf>
    <xf numFmtId="2" fontId="13" fillId="6" borderId="31" xfId="1957" applyNumberFormat="1" applyFont="1" applyFill="1" applyBorder="1" applyAlignment="1" applyProtection="1">
      <alignment horizontal="left" vertical="center" wrapText="1"/>
      <protection locked="0"/>
    </xf>
    <xf numFmtId="0" fontId="54" fillId="3" borderId="1" xfId="0" applyFont="1" applyFill="1" applyBorder="1" applyAlignment="1">
      <alignment horizontal="right"/>
    </xf>
    <xf numFmtId="2" fontId="47" fillId="8" borderId="38" xfId="1957" applyNumberFormat="1" applyFont="1" applyFill="1" applyBorder="1" applyAlignment="1" applyProtection="1">
      <alignment horizontal="center" vertical="center"/>
      <protection locked="0"/>
    </xf>
    <xf numFmtId="2" fontId="47" fillId="8" borderId="31" xfId="1957" applyNumberFormat="1" applyFont="1" applyFill="1" applyBorder="1" applyAlignment="1" applyProtection="1">
      <alignment horizontal="center" vertical="center"/>
      <protection locked="0"/>
    </xf>
    <xf numFmtId="0" fontId="51" fillId="3" borderId="1" xfId="0" applyFont="1" applyFill="1" applyBorder="1" applyAlignment="1">
      <alignment horizontal="right"/>
    </xf>
    <xf numFmtId="0" fontId="52" fillId="0" borderId="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2" fontId="13" fillId="0" borderId="34" xfId="1957" applyNumberFormat="1" applyFont="1" applyBorder="1" applyAlignment="1" applyProtection="1">
      <alignment horizontal="center" vertical="center"/>
      <protection locked="0"/>
    </xf>
    <xf numFmtId="2" fontId="13" fillId="0" borderId="41" xfId="1957" applyNumberFormat="1" applyFont="1" applyBorder="1" applyAlignment="1" applyProtection="1">
      <alignment horizontal="center" vertical="center"/>
      <protection locked="0"/>
    </xf>
    <xf numFmtId="10" fontId="13" fillId="6" borderId="37" xfId="1956" applyNumberFormat="1" applyFont="1" applyFill="1" applyBorder="1" applyAlignment="1" applyProtection="1">
      <alignment horizontal="center" vertical="center"/>
      <protection locked="0"/>
    </xf>
    <xf numFmtId="10" fontId="13" fillId="6" borderId="36" xfId="1956" applyNumberFormat="1" applyFont="1" applyFill="1" applyBorder="1" applyAlignment="1" applyProtection="1">
      <alignment horizontal="center" vertical="center"/>
      <protection locked="0"/>
    </xf>
    <xf numFmtId="0" fontId="49" fillId="7" borderId="5" xfId="0" applyFont="1" applyFill="1" applyBorder="1" applyAlignment="1">
      <alignment horizontal="left" vertical="center" wrapText="1"/>
    </xf>
    <xf numFmtId="0" fontId="49" fillId="7" borderId="16" xfId="0" applyFont="1" applyFill="1" applyBorder="1" applyAlignment="1">
      <alignment horizontal="left" vertical="center" wrapText="1"/>
    </xf>
    <xf numFmtId="0" fontId="49" fillId="7" borderId="17" xfId="0" applyFont="1" applyFill="1" applyBorder="1" applyAlignment="1">
      <alignment horizontal="left" vertical="center" wrapText="1"/>
    </xf>
    <xf numFmtId="2" fontId="13" fillId="0" borderId="34" xfId="1957" applyNumberFormat="1" applyFont="1" applyBorder="1" applyAlignment="1" applyProtection="1">
      <alignment horizontal="center" vertical="center" wrapText="1"/>
      <protection locked="0"/>
    </xf>
    <xf numFmtId="2" fontId="13" fillId="0" borderId="0" xfId="1957" applyNumberFormat="1" applyFont="1" applyAlignment="1" applyProtection="1">
      <alignment horizontal="center" vertical="center" wrapText="1"/>
      <protection locked="0"/>
    </xf>
    <xf numFmtId="2" fontId="13" fillId="0" borderId="7" xfId="1957" applyNumberFormat="1" applyFont="1" applyBorder="1" applyAlignment="1" applyProtection="1">
      <alignment horizontal="center" vertical="center" wrapText="1"/>
      <protection locked="0"/>
    </xf>
    <xf numFmtId="181" fontId="13" fillId="6" borderId="37" xfId="1955" applyNumberFormat="1" applyFont="1" applyFill="1" applyBorder="1" applyAlignment="1" applyProtection="1">
      <alignment horizontal="center" vertical="center" wrapText="1"/>
      <protection locked="0"/>
    </xf>
    <xf numFmtId="181" fontId="13" fillId="6" borderId="31" xfId="1955" applyNumberFormat="1" applyFont="1" applyFill="1" applyBorder="1" applyAlignment="1" applyProtection="1">
      <alignment horizontal="center" vertical="center" wrapText="1"/>
      <protection locked="0"/>
    </xf>
    <xf numFmtId="181" fontId="13" fillId="6" borderId="32" xfId="1955" applyNumberFormat="1" applyFont="1" applyFill="1" applyBorder="1" applyAlignment="1" applyProtection="1">
      <alignment horizontal="center" vertical="center" wrapText="1"/>
      <protection locked="0"/>
    </xf>
    <xf numFmtId="0" fontId="53" fillId="0" borderId="1" xfId="0" applyFont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right"/>
    </xf>
    <xf numFmtId="0" fontId="51" fillId="3" borderId="16" xfId="0" applyFont="1" applyFill="1" applyBorder="1" applyAlignment="1">
      <alignment horizontal="right"/>
    </xf>
    <xf numFmtId="0" fontId="51" fillId="3" borderId="17" xfId="0" applyFont="1" applyFill="1" applyBorder="1" applyAlignment="1">
      <alignment horizontal="right"/>
    </xf>
    <xf numFmtId="0" fontId="49" fillId="4" borderId="5" xfId="0" applyFont="1" applyFill="1" applyBorder="1" applyAlignment="1">
      <alignment horizontal="left" vertical="center" wrapText="1"/>
    </xf>
    <xf numFmtId="0" fontId="49" fillId="4" borderId="16" xfId="0" applyFont="1" applyFill="1" applyBorder="1" applyAlignment="1">
      <alignment horizontal="left" vertical="center" wrapText="1"/>
    </xf>
    <xf numFmtId="0" fontId="49" fillId="7" borderId="1" xfId="0" applyFont="1" applyFill="1" applyBorder="1" applyAlignment="1">
      <alignment horizontal="left" vertical="center" wrapText="1"/>
    </xf>
    <xf numFmtId="2" fontId="13" fillId="0" borderId="34" xfId="1957" applyNumberFormat="1" applyFont="1" applyBorder="1" applyAlignment="1" applyProtection="1">
      <alignment horizontal="left" vertical="center"/>
      <protection locked="0"/>
    </xf>
    <xf numFmtId="2" fontId="13" fillId="0" borderId="7" xfId="1957" applyNumberFormat="1" applyFont="1" applyBorder="1" applyAlignment="1" applyProtection="1">
      <alignment horizontal="left" vertical="center"/>
      <protection locked="0"/>
    </xf>
    <xf numFmtId="2" fontId="13" fillId="6" borderId="37" xfId="1957" applyNumberFormat="1" applyFont="1" applyFill="1" applyBorder="1" applyAlignment="1" applyProtection="1">
      <alignment horizontal="left" vertical="center"/>
      <protection locked="0"/>
    </xf>
    <xf numFmtId="2" fontId="13" fillId="6" borderId="31" xfId="1957" applyNumberFormat="1" applyFont="1" applyFill="1" applyBorder="1" applyAlignment="1" applyProtection="1">
      <alignment horizontal="left" vertical="center"/>
      <protection locked="0"/>
    </xf>
    <xf numFmtId="2" fontId="13" fillId="6" borderId="32" xfId="1957" applyNumberFormat="1" applyFont="1" applyFill="1" applyBorder="1" applyAlignment="1" applyProtection="1">
      <alignment horizontal="left" vertical="center"/>
      <protection locked="0"/>
    </xf>
    <xf numFmtId="0" fontId="49" fillId="3" borderId="1" xfId="0" applyFont="1" applyFill="1" applyBorder="1" applyAlignment="1">
      <alignment horizontal="left" vertical="center" wrapText="1"/>
    </xf>
    <xf numFmtId="0" fontId="49" fillId="3" borderId="5" xfId="0" applyFont="1" applyFill="1" applyBorder="1" applyAlignment="1">
      <alignment horizontal="right" vertical="center" wrapText="1"/>
    </xf>
    <xf numFmtId="0" fontId="49" fillId="3" borderId="16" xfId="0" applyFont="1" applyFill="1" applyBorder="1" applyAlignment="1">
      <alignment horizontal="right" vertical="center" wrapText="1"/>
    </xf>
    <xf numFmtId="0" fontId="49" fillId="3" borderId="17" xfId="0" applyFont="1" applyFill="1" applyBorder="1" applyAlignment="1">
      <alignment horizontal="right" vertical="center" wrapText="1"/>
    </xf>
    <xf numFmtId="2" fontId="56" fillId="8" borderId="38" xfId="1957" applyNumberFormat="1" applyFont="1" applyFill="1" applyBorder="1" applyAlignment="1" applyProtection="1">
      <alignment horizontal="center" vertical="center"/>
      <protection locked="0"/>
    </xf>
    <xf numFmtId="2" fontId="56" fillId="8" borderId="31" xfId="1957" applyNumberFormat="1" applyFont="1" applyFill="1" applyBorder="1" applyAlignment="1" applyProtection="1">
      <alignment horizontal="center" vertical="center"/>
      <protection locked="0"/>
    </xf>
    <xf numFmtId="0" fontId="52" fillId="0" borderId="1" xfId="0" applyFont="1" applyBorder="1" applyAlignment="1">
      <alignment horizontal="center"/>
    </xf>
    <xf numFmtId="0" fontId="36" fillId="9" borderId="18" xfId="173" applyFont="1" applyFill="1" applyBorder="1" applyAlignment="1" applyProtection="1">
      <alignment horizontal="center" vertical="center"/>
      <protection hidden="1"/>
    </xf>
    <xf numFmtId="0" fontId="36" fillId="9" borderId="19" xfId="173" applyFont="1" applyFill="1" applyBorder="1" applyAlignment="1" applyProtection="1">
      <alignment horizontal="center" vertical="center"/>
      <protection hidden="1"/>
    </xf>
    <xf numFmtId="0" fontId="36" fillId="9" borderId="20" xfId="173" applyFont="1" applyFill="1" applyBorder="1" applyAlignment="1" applyProtection="1">
      <alignment horizontal="center" vertical="center"/>
      <protection hidden="1"/>
    </xf>
    <xf numFmtId="0" fontId="37" fillId="0" borderId="21" xfId="173" applyFont="1" applyBorder="1" applyAlignment="1" applyProtection="1">
      <alignment horizontal="center" vertical="center"/>
      <protection hidden="1"/>
    </xf>
    <xf numFmtId="0" fontId="37" fillId="0" borderId="22" xfId="173" applyFont="1" applyBorder="1" applyAlignment="1" applyProtection="1">
      <alignment horizontal="center" vertical="center"/>
      <protection hidden="1"/>
    </xf>
    <xf numFmtId="0" fontId="37" fillId="0" borderId="23" xfId="173" applyFont="1" applyBorder="1" applyAlignment="1" applyProtection="1">
      <alignment horizontal="center" vertical="center"/>
      <protection hidden="1"/>
    </xf>
    <xf numFmtId="0" fontId="37" fillId="0" borderId="24" xfId="173" applyFont="1" applyBorder="1" applyAlignment="1" applyProtection="1">
      <alignment horizontal="left" vertical="center" wrapText="1"/>
      <protection hidden="1"/>
    </xf>
    <xf numFmtId="0" fontId="37" fillId="0" borderId="25" xfId="173" applyFont="1" applyBorder="1" applyAlignment="1" applyProtection="1">
      <alignment horizontal="left" vertical="center" wrapText="1"/>
      <protection hidden="1"/>
    </xf>
    <xf numFmtId="0" fontId="37" fillId="0" borderId="26" xfId="173" applyFont="1" applyBorder="1" applyAlignment="1" applyProtection="1">
      <alignment horizontal="left" vertical="center" wrapText="1"/>
      <protection hidden="1"/>
    </xf>
    <xf numFmtId="49" fontId="37" fillId="0" borderId="24" xfId="173" applyNumberFormat="1" applyFont="1" applyBorder="1" applyAlignment="1">
      <alignment horizontal="left"/>
    </xf>
    <xf numFmtId="49" fontId="37" fillId="0" borderId="25" xfId="173" applyNumberFormat="1" applyFont="1" applyBorder="1" applyAlignment="1">
      <alignment horizontal="left"/>
    </xf>
    <xf numFmtId="49" fontId="37" fillId="0" borderId="26" xfId="173" applyNumberFormat="1" applyFont="1" applyBorder="1" applyAlignment="1">
      <alignment horizontal="left"/>
    </xf>
    <xf numFmtId="0" fontId="37" fillId="0" borderId="6" xfId="173" applyFont="1" applyBorder="1" applyAlignment="1">
      <alignment horizontal="left" vertical="center" wrapText="1"/>
    </xf>
    <xf numFmtId="0" fontId="37" fillId="0" borderId="0" xfId="173" applyFont="1" applyAlignment="1">
      <alignment horizontal="left" vertical="center" wrapText="1"/>
    </xf>
    <xf numFmtId="0" fontId="37" fillId="0" borderId="7" xfId="173" applyFont="1" applyBorder="1" applyAlignment="1">
      <alignment horizontal="left" vertical="center" wrapText="1"/>
    </xf>
    <xf numFmtId="0" fontId="37" fillId="0" borderId="8" xfId="173" applyFont="1" applyBorder="1" applyAlignment="1">
      <alignment horizontal="left" vertical="center" wrapText="1"/>
    </xf>
    <xf numFmtId="0" fontId="37" fillId="0" borderId="9" xfId="173" applyFont="1" applyBorder="1" applyAlignment="1">
      <alignment horizontal="left" vertical="center" wrapText="1"/>
    </xf>
    <xf numFmtId="0" fontId="37" fillId="0" borderId="10" xfId="173" applyFont="1" applyBorder="1" applyAlignment="1">
      <alignment horizontal="left" vertical="center" wrapText="1"/>
    </xf>
    <xf numFmtId="0" fontId="57" fillId="8" borderId="34" xfId="0" applyFont="1" applyFill="1" applyBorder="1" applyAlignment="1">
      <alignment horizontal="center" vertical="center"/>
    </xf>
    <xf numFmtId="0" fontId="57" fillId="8" borderId="0" xfId="0" applyFont="1" applyFill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2" fontId="13" fillId="0" borderId="0" xfId="1957" applyNumberFormat="1" applyFont="1" applyAlignment="1" applyProtection="1">
      <alignment horizontal="center" vertical="center"/>
      <protection locked="0"/>
    </xf>
    <xf numFmtId="2" fontId="13" fillId="6" borderId="36" xfId="1957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181" fontId="6" fillId="6" borderId="37" xfId="1955" applyNumberFormat="1" applyFont="1" applyFill="1" applyBorder="1" applyAlignment="1" applyProtection="1">
      <alignment horizontal="center" vertical="center" wrapText="1"/>
      <protection locked="0"/>
    </xf>
    <xf numFmtId="181" fontId="6" fillId="6" borderId="31" xfId="1955" applyNumberFormat="1" applyFont="1" applyFill="1" applyBorder="1" applyAlignment="1" applyProtection="1">
      <alignment horizontal="center" vertical="center" wrapText="1"/>
      <protection locked="0"/>
    </xf>
    <xf numFmtId="0" fontId="45" fillId="0" borderId="5" xfId="0" applyFont="1" applyBorder="1" applyAlignment="1">
      <alignment horizontal="right" wrapText="1"/>
    </xf>
    <xf numFmtId="0" fontId="45" fillId="0" borderId="16" xfId="0" applyFont="1" applyBorder="1" applyAlignment="1">
      <alignment horizontal="right" wrapText="1"/>
    </xf>
    <xf numFmtId="0" fontId="45" fillId="0" borderId="17" xfId="0" applyFont="1" applyBorder="1" applyAlignment="1">
      <alignment horizontal="right" wrapText="1"/>
    </xf>
    <xf numFmtId="0" fontId="43" fillId="0" borderId="5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1" fillId="0" borderId="37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2" fillId="11" borderId="5" xfId="0" applyFont="1" applyFill="1" applyBorder="1" applyAlignment="1">
      <alignment horizontal="center" vertical="center" wrapText="1"/>
    </xf>
    <xf numFmtId="0" fontId="42" fillId="11" borderId="16" xfId="0" applyFont="1" applyFill="1" applyBorder="1" applyAlignment="1">
      <alignment horizontal="center" vertical="center" wrapText="1"/>
    </xf>
    <xf numFmtId="0" fontId="42" fillId="11" borderId="17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5" fillId="0" borderId="5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43" fillId="3" borderId="6" xfId="0" applyFont="1" applyFill="1" applyBorder="1" applyAlignment="1">
      <alignment horizontal="center" vertical="center" wrapText="1"/>
    </xf>
    <xf numFmtId="0" fontId="6" fillId="4" borderId="49" xfId="758" applyFill="1" applyBorder="1" applyAlignment="1">
      <alignment horizontal="right"/>
    </xf>
    <xf numFmtId="0" fontId="6" fillId="4" borderId="45" xfId="758" applyFill="1" applyBorder="1" applyAlignment="1">
      <alignment horizontal="right"/>
    </xf>
    <xf numFmtId="0" fontId="6" fillId="4" borderId="50" xfId="758" applyFill="1" applyBorder="1" applyAlignment="1">
      <alignment horizontal="right"/>
    </xf>
    <xf numFmtId="2" fontId="13" fillId="6" borderId="28" xfId="1957" applyNumberFormat="1" applyFont="1" applyFill="1" applyBorder="1" applyAlignment="1" applyProtection="1">
      <alignment horizontal="left" vertical="center"/>
      <protection locked="0"/>
    </xf>
    <xf numFmtId="2" fontId="13" fillId="6" borderId="43" xfId="1957" applyNumberFormat="1" applyFont="1" applyFill="1" applyBorder="1" applyAlignment="1" applyProtection="1">
      <alignment horizontal="left" vertical="center"/>
      <protection locked="0"/>
    </xf>
    <xf numFmtId="0" fontId="6" fillId="4" borderId="49" xfId="758" applyFill="1" applyBorder="1" applyAlignment="1">
      <alignment horizontal="center"/>
    </xf>
    <xf numFmtId="0" fontId="6" fillId="4" borderId="50" xfId="758" applyFill="1" applyBorder="1" applyAlignment="1">
      <alignment horizontal="center"/>
    </xf>
    <xf numFmtId="0" fontId="57" fillId="8" borderId="1" xfId="0" applyFont="1" applyFill="1" applyBorder="1" applyAlignment="1">
      <alignment horizontal="center" vertical="center"/>
    </xf>
    <xf numFmtId="0" fontId="8" fillId="11" borderId="44" xfId="758" applyFont="1" applyFill="1" applyBorder="1" applyAlignment="1">
      <alignment horizontal="center"/>
    </xf>
    <xf numFmtId="0" fontId="8" fillId="11" borderId="9" xfId="758" applyFont="1" applyFill="1" applyBorder="1" applyAlignment="1">
      <alignment horizontal="center"/>
    </xf>
  </cellXfs>
  <cellStyles count="1958">
    <cellStyle name="_x000d_&#10;JournalTemplate=C:\COMFO\CTALK\JOURSTD.TPL_x000d_&#10;LbStateAddress=3 3 0 251 1 89 2 311_x000d_&#10;LbStateJou" xfId="77"/>
    <cellStyle name="20% - Ênfase1 100" xfId="1"/>
    <cellStyle name="60% - Ênfase6 37" xfId="2"/>
    <cellStyle name="Comma_Arauco Piping list" xfId="78"/>
    <cellStyle name="Comma0" xfId="79"/>
    <cellStyle name="CORES" xfId="80"/>
    <cellStyle name="Currency [0]_Arauco Piping list" xfId="81"/>
    <cellStyle name="Currency_Arauco Piping list" xfId="82"/>
    <cellStyle name="Currency0" xfId="83"/>
    <cellStyle name="Data" xfId="84"/>
    <cellStyle name="Date" xfId="85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7"/>
    <cellStyle name="Excel Built-in Normal 3" xfId="86"/>
    <cellStyle name="Excel_BuiltIn_Comma" xfId="8"/>
    <cellStyle name="Fixed" xfId="87"/>
    <cellStyle name="Fixo" xfId="88"/>
    <cellStyle name="Followed Hyperlink" xfId="89"/>
    <cellStyle name="Grey" xfId="90"/>
    <cellStyle name="Heading" xfId="9"/>
    <cellStyle name="Heading 1" xfId="91"/>
    <cellStyle name="Heading 2" xfId="92"/>
    <cellStyle name="Heading1" xfId="10"/>
    <cellStyle name="Hiperlink 2" xfId="93"/>
    <cellStyle name="Indefinido" xfId="94"/>
    <cellStyle name="Input [yellow]" xfId="95"/>
    <cellStyle name="material" xfId="96"/>
    <cellStyle name="material 2" xfId="417"/>
    <cellStyle name="material 2 2" xfId="976"/>
    <cellStyle name="material 3" xfId="358"/>
    <cellStyle name="material 4" xfId="242"/>
    <cellStyle name="MINIPG" xfId="97"/>
    <cellStyle name="Moeda" xfId="1955" builtinId="4"/>
    <cellStyle name="Moeda 2" xfId="98"/>
    <cellStyle name="Normal" xfId="0" builtinId="0"/>
    <cellStyle name="Normal - Style1" xfId="99"/>
    <cellStyle name="Normal 10" xfId="100"/>
    <cellStyle name="Normal 10 2" xfId="187"/>
    <cellStyle name="Normal 10 2 2" xfId="927"/>
    <cellStyle name="Normal 10 3" xfId="870"/>
    <cellStyle name="Normal 100" xfId="869"/>
    <cellStyle name="Normal 101" xfId="1189"/>
    <cellStyle name="Normal 102" xfId="1192"/>
    <cellStyle name="Normal 103" xfId="1926"/>
    <cellStyle name="Normal 104" xfId="1931"/>
    <cellStyle name="Normal 105" xfId="1935"/>
    <cellStyle name="Normal 106" xfId="1941"/>
    <cellStyle name="Normal 107" xfId="1948"/>
    <cellStyle name="Normal 108" xfId="1932"/>
    <cellStyle name="Normal 109" xfId="1951"/>
    <cellStyle name="Normal 11" xfId="101"/>
    <cellStyle name="Normal 11 2" xfId="188"/>
    <cellStyle name="Normal 11 2 2" xfId="928"/>
    <cellStyle name="Normal 11 3" xfId="871"/>
    <cellStyle name="Normal 110" xfId="1946"/>
    <cellStyle name="Normal 111" xfId="1927"/>
    <cellStyle name="Normal 112" xfId="1953"/>
    <cellStyle name="Normal 113" xfId="1949"/>
    <cellStyle name="Normal 114" xfId="1943"/>
    <cellStyle name="Normal 115" xfId="1934"/>
    <cellStyle name="Normal 116" xfId="1930"/>
    <cellStyle name="Normal 117" xfId="1936"/>
    <cellStyle name="Normal 118" xfId="1929"/>
    <cellStyle name="Normal 119" xfId="1940"/>
    <cellStyle name="Normal 12" xfId="102"/>
    <cellStyle name="Normal 12 2" xfId="418"/>
    <cellStyle name="Normal 12 2 2" xfId="977"/>
    <cellStyle name="Normal 12 3" xfId="359"/>
    <cellStyle name="Normal 12 4" xfId="243"/>
    <cellStyle name="Normal 120" xfId="1928"/>
    <cellStyle name="Normal 121" xfId="1937"/>
    <cellStyle name="Normal 122" xfId="1952"/>
    <cellStyle name="Normal 123" xfId="1933"/>
    <cellStyle name="Normal 124" xfId="1954"/>
    <cellStyle name="Normal 125" xfId="1944"/>
    <cellStyle name="Normal 126" xfId="1945"/>
    <cellStyle name="Normal 127" xfId="1938"/>
    <cellStyle name="Normal 128" xfId="1950"/>
    <cellStyle name="Normal 129" xfId="1939"/>
    <cellStyle name="Normal 13" xfId="103"/>
    <cellStyle name="Normal 13 10" xfId="1194"/>
    <cellStyle name="Normal 13 2" xfId="104"/>
    <cellStyle name="Normal 13 2 2" xfId="420"/>
    <cellStyle name="Normal 13 2 2 2" xfId="625"/>
    <cellStyle name="Normal 13 2 2 2 2" xfId="1091"/>
    <cellStyle name="Normal 13 2 2 2 2 2" xfId="1239"/>
    <cellStyle name="Normal 13 2 2 2 3" xfId="1238"/>
    <cellStyle name="Normal 13 2 2 3" xfId="776"/>
    <cellStyle name="Normal 13 2 2 3 2" xfId="1240"/>
    <cellStyle name="Normal 13 2 2 4" xfId="1237"/>
    <cellStyle name="Normal 13 2 3" xfId="527"/>
    <cellStyle name="Normal 13 2 3 2" xfId="669"/>
    <cellStyle name="Normal 13 2 3 2 2" xfId="1134"/>
    <cellStyle name="Normal 13 2 3 2 2 2" xfId="1243"/>
    <cellStyle name="Normal 13 2 3 2 3" xfId="1242"/>
    <cellStyle name="Normal 13 2 3 3" xfId="822"/>
    <cellStyle name="Normal 13 2 3 3 2" xfId="1244"/>
    <cellStyle name="Normal 13 2 3 4" xfId="1241"/>
    <cellStyle name="Normal 13 2 4" xfId="361"/>
    <cellStyle name="Normal 13 2 4 2" xfId="932"/>
    <cellStyle name="Normal 13 2 4 2 2" xfId="1246"/>
    <cellStyle name="Normal 13 2 4 3" xfId="1245"/>
    <cellStyle name="Normal 13 2 5" xfId="579"/>
    <cellStyle name="Normal 13 2 5 2" xfId="1045"/>
    <cellStyle name="Normal 13 2 5 2 2" xfId="1248"/>
    <cellStyle name="Normal 13 2 5 3" xfId="1247"/>
    <cellStyle name="Normal 13 2 6" xfId="245"/>
    <cellStyle name="Normal 13 2 6 2" xfId="873"/>
    <cellStyle name="Normal 13 2 6 2 2" xfId="1250"/>
    <cellStyle name="Normal 13 2 6 3" xfId="1249"/>
    <cellStyle name="Normal 13 2 7" xfId="728"/>
    <cellStyle name="Normal 13 2 7 2" xfId="1251"/>
    <cellStyle name="Normal 13 2 8" xfId="1195"/>
    <cellStyle name="Normal 13 3" xfId="105"/>
    <cellStyle name="Normal 13 3 2" xfId="421"/>
    <cellStyle name="Normal 13 3 2 2" xfId="626"/>
    <cellStyle name="Normal 13 3 2 2 2" xfId="1092"/>
    <cellStyle name="Normal 13 3 2 2 2 2" xfId="1254"/>
    <cellStyle name="Normal 13 3 2 2 3" xfId="1253"/>
    <cellStyle name="Normal 13 3 2 3" xfId="777"/>
    <cellStyle name="Normal 13 3 2 3 2" xfId="1255"/>
    <cellStyle name="Normal 13 3 2 4" xfId="1252"/>
    <cellStyle name="Normal 13 3 3" xfId="528"/>
    <cellStyle name="Normal 13 3 3 2" xfId="670"/>
    <cellStyle name="Normal 13 3 3 2 2" xfId="1135"/>
    <cellStyle name="Normal 13 3 3 2 2 2" xfId="1258"/>
    <cellStyle name="Normal 13 3 3 2 3" xfId="1257"/>
    <cellStyle name="Normal 13 3 3 3" xfId="823"/>
    <cellStyle name="Normal 13 3 3 3 2" xfId="1259"/>
    <cellStyle name="Normal 13 3 3 4" xfId="1256"/>
    <cellStyle name="Normal 13 3 4" xfId="362"/>
    <cellStyle name="Normal 13 3 4 2" xfId="933"/>
    <cellStyle name="Normal 13 3 4 2 2" xfId="1261"/>
    <cellStyle name="Normal 13 3 4 3" xfId="1260"/>
    <cellStyle name="Normal 13 3 5" xfId="580"/>
    <cellStyle name="Normal 13 3 5 2" xfId="1046"/>
    <cellStyle name="Normal 13 3 5 2 2" xfId="1263"/>
    <cellStyle name="Normal 13 3 5 3" xfId="1262"/>
    <cellStyle name="Normal 13 3 6" xfId="246"/>
    <cellStyle name="Normal 13 3 6 2" xfId="874"/>
    <cellStyle name="Normal 13 3 6 2 2" xfId="1265"/>
    <cellStyle name="Normal 13 3 6 3" xfId="1264"/>
    <cellStyle name="Normal 13 3 7" xfId="729"/>
    <cellStyle name="Normal 13 3 7 2" xfId="1266"/>
    <cellStyle name="Normal 13 3 8" xfId="1196"/>
    <cellStyle name="Normal 13 4" xfId="180"/>
    <cellStyle name="Normal 13 4 2" xfId="299"/>
    <cellStyle name="Normal 13 4 2 2" xfId="524"/>
    <cellStyle name="Normal 13 4 2 2 2" xfId="1041"/>
    <cellStyle name="Normal 13 4 2 2 2 2" xfId="1269"/>
    <cellStyle name="Normal 13 4 2 2 3" xfId="1268"/>
    <cellStyle name="Normal 13 4 2 3" xfId="666"/>
    <cellStyle name="Normal 13 4 2 3 2" xfId="1131"/>
    <cellStyle name="Normal 13 4 2 3 2 2" xfId="1271"/>
    <cellStyle name="Normal 13 4 2 3 3" xfId="1270"/>
    <cellStyle name="Normal 13 4 2 4" xfId="716"/>
    <cellStyle name="Normal 13 4 2 4 2" xfId="1179"/>
    <cellStyle name="Normal 13 4 2 4 2 2" xfId="1273"/>
    <cellStyle name="Normal 13 4 2 4 3" xfId="1272"/>
    <cellStyle name="Normal 13 4 2 5" xfId="819"/>
    <cellStyle name="Normal 13 4 2 5 2" xfId="1274"/>
    <cellStyle name="Normal 13 4 2 6" xfId="1267"/>
    <cellStyle name="Normal 13 4 3" xfId="300"/>
    <cellStyle name="Normal 13 4 3 2" xfId="525"/>
    <cellStyle name="Normal 13 4 3 2 2" xfId="1042"/>
    <cellStyle name="Normal 13 4 3 2 2 2" xfId="1277"/>
    <cellStyle name="Normal 13 4 3 2 3" xfId="1276"/>
    <cellStyle name="Normal 13 4 3 3" xfId="667"/>
    <cellStyle name="Normal 13 4 3 3 2" xfId="1132"/>
    <cellStyle name="Normal 13 4 3 3 2 2" xfId="1279"/>
    <cellStyle name="Normal 13 4 3 3 3" xfId="1278"/>
    <cellStyle name="Normal 13 4 3 4" xfId="820"/>
    <cellStyle name="Normal 13 4 3 4 2" xfId="1280"/>
    <cellStyle name="Normal 13 4 3 5" xfId="1275"/>
    <cellStyle name="Normal 13 4 4" xfId="411"/>
    <cellStyle name="Normal 13 4 4 2" xfId="971"/>
    <cellStyle name="Normal 13 4 4 2 2" xfId="1282"/>
    <cellStyle name="Normal 13 4 4 3" xfId="1281"/>
    <cellStyle name="Normal 13 4 5" xfId="618"/>
    <cellStyle name="Normal 13 4 5 2" xfId="1084"/>
    <cellStyle name="Normal 13 4 5 2 2" xfId="1284"/>
    <cellStyle name="Normal 13 4 5 3" xfId="1283"/>
    <cellStyle name="Normal 13 4 6" xfId="715"/>
    <cellStyle name="Normal 13 4 6 2" xfId="1178"/>
    <cellStyle name="Normal 13 4 6 2 2" xfId="1286"/>
    <cellStyle name="Normal 13 4 6 3" xfId="1285"/>
    <cellStyle name="Normal 13 4 7" xfId="295"/>
    <cellStyle name="Normal 13 4 7 2" xfId="920"/>
    <cellStyle name="Normal 13 4 7 2 2" xfId="1288"/>
    <cellStyle name="Normal 13 4 7 3" xfId="1287"/>
    <cellStyle name="Normal 13 4 8" xfId="769"/>
    <cellStyle name="Normal 13 4 8 2" xfId="1289"/>
    <cellStyle name="Normal 13 4 9" xfId="1234"/>
    <cellStyle name="Normal 13 5" xfId="301"/>
    <cellStyle name="Normal 13 5 2" xfId="568"/>
    <cellStyle name="Normal 13 5 2 2" xfId="709"/>
    <cellStyle name="Normal 13 5 2 2 2" xfId="1174"/>
    <cellStyle name="Normal 13 5 2 2 2 2" xfId="1293"/>
    <cellStyle name="Normal 13 5 2 2 3" xfId="1292"/>
    <cellStyle name="Normal 13 5 2 3" xfId="862"/>
    <cellStyle name="Normal 13 5 2 3 2" xfId="1294"/>
    <cellStyle name="Normal 13 5 2 4" xfId="1291"/>
    <cellStyle name="Normal 13 5 3" xfId="419"/>
    <cellStyle name="Normal 13 5 3 2" xfId="978"/>
    <cellStyle name="Normal 13 5 3 2 2" xfId="1296"/>
    <cellStyle name="Normal 13 5 3 3" xfId="1295"/>
    <cellStyle name="Normal 13 5 4" xfId="624"/>
    <cellStyle name="Normal 13 5 4 2" xfId="1090"/>
    <cellStyle name="Normal 13 5 4 2 2" xfId="1298"/>
    <cellStyle name="Normal 13 5 4 3" xfId="1297"/>
    <cellStyle name="Normal 13 5 5" xfId="775"/>
    <cellStyle name="Normal 13 5 5 2" xfId="1299"/>
    <cellStyle name="Normal 13 5 6" xfId="1290"/>
    <cellStyle name="Normal 13 6" xfId="360"/>
    <cellStyle name="Normal 13 6 2" xfId="931"/>
    <cellStyle name="Normal 13 6 2 2" xfId="1301"/>
    <cellStyle name="Normal 13 6 3" xfId="1300"/>
    <cellStyle name="Normal 13 7" xfId="578"/>
    <cellStyle name="Normal 13 7 2" xfId="1044"/>
    <cellStyle name="Normal 13 7 2 2" xfId="1303"/>
    <cellStyle name="Normal 13 7 3" xfId="1302"/>
    <cellStyle name="Normal 13 8" xfId="244"/>
    <cellStyle name="Normal 13 8 2" xfId="872"/>
    <cellStyle name="Normal 13 8 2 2" xfId="1305"/>
    <cellStyle name="Normal 13 8 3" xfId="1304"/>
    <cellStyle name="Normal 13 9" xfId="727"/>
    <cellStyle name="Normal 13 9 2" xfId="1306"/>
    <cellStyle name="Normal 130" xfId="1947"/>
    <cellStyle name="Normal 131" xfId="1942"/>
    <cellStyle name="Normal 14" xfId="106"/>
    <cellStyle name="Normal 14 10" xfId="1197"/>
    <cellStyle name="Normal 14 2" xfId="107"/>
    <cellStyle name="Normal 14 2 2" xfId="423"/>
    <cellStyle name="Normal 14 2 2 2" xfId="628"/>
    <cellStyle name="Normal 14 2 2 2 2" xfId="1094"/>
    <cellStyle name="Normal 14 2 2 2 2 2" xfId="1309"/>
    <cellStyle name="Normal 14 2 2 2 3" xfId="1308"/>
    <cellStyle name="Normal 14 2 2 3" xfId="779"/>
    <cellStyle name="Normal 14 2 2 3 2" xfId="1310"/>
    <cellStyle name="Normal 14 2 2 4" xfId="1307"/>
    <cellStyle name="Normal 14 2 3" xfId="530"/>
    <cellStyle name="Normal 14 2 3 2" xfId="672"/>
    <cellStyle name="Normal 14 2 3 2 2" xfId="1137"/>
    <cellStyle name="Normal 14 2 3 2 2 2" xfId="1313"/>
    <cellStyle name="Normal 14 2 3 2 3" xfId="1312"/>
    <cellStyle name="Normal 14 2 3 3" xfId="825"/>
    <cellStyle name="Normal 14 2 3 3 2" xfId="1314"/>
    <cellStyle name="Normal 14 2 3 4" xfId="1311"/>
    <cellStyle name="Normal 14 2 4" xfId="364"/>
    <cellStyle name="Normal 14 2 4 2" xfId="935"/>
    <cellStyle name="Normal 14 2 4 2 2" xfId="1316"/>
    <cellStyle name="Normal 14 2 4 3" xfId="1315"/>
    <cellStyle name="Normal 14 2 5" xfId="582"/>
    <cellStyle name="Normal 14 2 5 2" xfId="1048"/>
    <cellStyle name="Normal 14 2 5 2 2" xfId="1318"/>
    <cellStyle name="Normal 14 2 5 3" xfId="1317"/>
    <cellStyle name="Normal 14 2 6" xfId="248"/>
    <cellStyle name="Normal 14 2 6 2" xfId="876"/>
    <cellStyle name="Normal 14 2 6 2 2" xfId="1320"/>
    <cellStyle name="Normal 14 2 6 3" xfId="1319"/>
    <cellStyle name="Normal 14 2 7" xfId="731"/>
    <cellStyle name="Normal 14 2 7 2" xfId="1321"/>
    <cellStyle name="Normal 14 2 8" xfId="1198"/>
    <cellStyle name="Normal 14 3" xfId="108"/>
    <cellStyle name="Normal 14 3 2" xfId="424"/>
    <cellStyle name="Normal 14 3 2 2" xfId="629"/>
    <cellStyle name="Normal 14 3 2 2 2" xfId="1095"/>
    <cellStyle name="Normal 14 3 2 2 2 2" xfId="1324"/>
    <cellStyle name="Normal 14 3 2 2 3" xfId="1323"/>
    <cellStyle name="Normal 14 3 2 3" xfId="780"/>
    <cellStyle name="Normal 14 3 2 3 2" xfId="1325"/>
    <cellStyle name="Normal 14 3 2 4" xfId="1322"/>
    <cellStyle name="Normal 14 3 3" xfId="531"/>
    <cellStyle name="Normal 14 3 3 2" xfId="673"/>
    <cellStyle name="Normal 14 3 3 2 2" xfId="1138"/>
    <cellStyle name="Normal 14 3 3 2 2 2" xfId="1328"/>
    <cellStyle name="Normal 14 3 3 2 3" xfId="1327"/>
    <cellStyle name="Normal 14 3 3 3" xfId="826"/>
    <cellStyle name="Normal 14 3 3 3 2" xfId="1329"/>
    <cellStyle name="Normal 14 3 3 4" xfId="1326"/>
    <cellStyle name="Normal 14 3 4" xfId="365"/>
    <cellStyle name="Normal 14 3 4 2" xfId="936"/>
    <cellStyle name="Normal 14 3 4 2 2" xfId="1331"/>
    <cellStyle name="Normal 14 3 4 3" xfId="1330"/>
    <cellStyle name="Normal 14 3 5" xfId="583"/>
    <cellStyle name="Normal 14 3 5 2" xfId="1049"/>
    <cellStyle name="Normal 14 3 5 2 2" xfId="1333"/>
    <cellStyle name="Normal 14 3 5 3" xfId="1332"/>
    <cellStyle name="Normal 14 3 6" xfId="249"/>
    <cellStyle name="Normal 14 3 6 2" xfId="877"/>
    <cellStyle name="Normal 14 3 6 2 2" xfId="1335"/>
    <cellStyle name="Normal 14 3 6 3" xfId="1334"/>
    <cellStyle name="Normal 14 3 7" xfId="732"/>
    <cellStyle name="Normal 14 3 7 2" xfId="1336"/>
    <cellStyle name="Normal 14 3 8" xfId="1199"/>
    <cellStyle name="Normal 14 4" xfId="422"/>
    <cellStyle name="Normal 14 4 2" xfId="627"/>
    <cellStyle name="Normal 14 4 2 2" xfId="1093"/>
    <cellStyle name="Normal 14 4 2 2 2" xfId="1339"/>
    <cellStyle name="Normal 14 4 2 3" xfId="1338"/>
    <cellStyle name="Normal 14 4 3" xfId="778"/>
    <cellStyle name="Normal 14 4 3 2" xfId="1340"/>
    <cellStyle name="Normal 14 4 4" xfId="1337"/>
    <cellStyle name="Normal 14 5" xfId="529"/>
    <cellStyle name="Normal 14 5 2" xfId="671"/>
    <cellStyle name="Normal 14 5 2 2" xfId="1136"/>
    <cellStyle name="Normal 14 5 2 2 2" xfId="1343"/>
    <cellStyle name="Normal 14 5 2 3" xfId="1342"/>
    <cellStyle name="Normal 14 5 3" xfId="824"/>
    <cellStyle name="Normal 14 5 3 2" xfId="1344"/>
    <cellStyle name="Normal 14 5 4" xfId="1341"/>
    <cellStyle name="Normal 14 6" xfId="363"/>
    <cellStyle name="Normal 14 6 2" xfId="934"/>
    <cellStyle name="Normal 14 6 2 2" xfId="1346"/>
    <cellStyle name="Normal 14 6 3" xfId="1345"/>
    <cellStyle name="Normal 14 7" xfId="581"/>
    <cellStyle name="Normal 14 7 2" xfId="1047"/>
    <cellStyle name="Normal 14 7 2 2" xfId="1348"/>
    <cellStyle name="Normal 14 7 3" xfId="1347"/>
    <cellStyle name="Normal 14 8" xfId="247"/>
    <cellStyle name="Normal 14 8 2" xfId="875"/>
    <cellStyle name="Normal 14 8 2 2" xfId="1350"/>
    <cellStyle name="Normal 14 8 3" xfId="1349"/>
    <cellStyle name="Normal 14 9" xfId="730"/>
    <cellStyle name="Normal 14 9 2" xfId="1351"/>
    <cellStyle name="Normal 15" xfId="109"/>
    <cellStyle name="Normal 15 2" xfId="110"/>
    <cellStyle name="Normal 16" xfId="111"/>
    <cellStyle name="Normal 16 10" xfId="1200"/>
    <cellStyle name="Normal 16 2" xfId="112"/>
    <cellStyle name="Normal 16 2 2" xfId="426"/>
    <cellStyle name="Normal 16 2 2 2" xfId="631"/>
    <cellStyle name="Normal 16 2 2 2 2" xfId="1097"/>
    <cellStyle name="Normal 16 2 2 2 2 2" xfId="1354"/>
    <cellStyle name="Normal 16 2 2 2 3" xfId="1353"/>
    <cellStyle name="Normal 16 2 2 3" xfId="782"/>
    <cellStyle name="Normal 16 2 2 3 2" xfId="1355"/>
    <cellStyle name="Normal 16 2 2 4" xfId="1352"/>
    <cellStyle name="Normal 16 2 3" xfId="533"/>
    <cellStyle name="Normal 16 2 3 2" xfId="675"/>
    <cellStyle name="Normal 16 2 3 2 2" xfId="1140"/>
    <cellStyle name="Normal 16 2 3 2 2 2" xfId="1358"/>
    <cellStyle name="Normal 16 2 3 2 3" xfId="1357"/>
    <cellStyle name="Normal 16 2 3 3" xfId="828"/>
    <cellStyle name="Normal 16 2 3 3 2" xfId="1359"/>
    <cellStyle name="Normal 16 2 3 4" xfId="1356"/>
    <cellStyle name="Normal 16 2 4" xfId="367"/>
    <cellStyle name="Normal 16 2 4 2" xfId="938"/>
    <cellStyle name="Normal 16 2 4 2 2" xfId="1361"/>
    <cellStyle name="Normal 16 2 4 3" xfId="1360"/>
    <cellStyle name="Normal 16 2 5" xfId="585"/>
    <cellStyle name="Normal 16 2 5 2" xfId="1051"/>
    <cellStyle name="Normal 16 2 5 2 2" xfId="1363"/>
    <cellStyle name="Normal 16 2 5 3" xfId="1362"/>
    <cellStyle name="Normal 16 2 6" xfId="251"/>
    <cellStyle name="Normal 16 2 6 2" xfId="880"/>
    <cellStyle name="Normal 16 2 6 2 2" xfId="1365"/>
    <cellStyle name="Normal 16 2 6 3" xfId="1364"/>
    <cellStyle name="Normal 16 2 7" xfId="734"/>
    <cellStyle name="Normal 16 2 7 2" xfId="1366"/>
    <cellStyle name="Normal 16 2 8" xfId="1201"/>
    <cellStyle name="Normal 16 3" xfId="113"/>
    <cellStyle name="Normal 16 3 2" xfId="427"/>
    <cellStyle name="Normal 16 3 2 2" xfId="632"/>
    <cellStyle name="Normal 16 3 2 2 2" xfId="1098"/>
    <cellStyle name="Normal 16 3 2 2 2 2" xfId="1369"/>
    <cellStyle name="Normal 16 3 2 2 3" xfId="1368"/>
    <cellStyle name="Normal 16 3 2 3" xfId="783"/>
    <cellStyle name="Normal 16 3 2 3 2" xfId="1370"/>
    <cellStyle name="Normal 16 3 2 4" xfId="1367"/>
    <cellStyle name="Normal 16 3 3" xfId="534"/>
    <cellStyle name="Normal 16 3 3 2" xfId="676"/>
    <cellStyle name="Normal 16 3 3 2 2" xfId="1141"/>
    <cellStyle name="Normal 16 3 3 2 2 2" xfId="1373"/>
    <cellStyle name="Normal 16 3 3 2 3" xfId="1372"/>
    <cellStyle name="Normal 16 3 3 3" xfId="829"/>
    <cellStyle name="Normal 16 3 3 3 2" xfId="1374"/>
    <cellStyle name="Normal 16 3 3 4" xfId="1371"/>
    <cellStyle name="Normal 16 3 4" xfId="368"/>
    <cellStyle name="Normal 16 3 4 2" xfId="939"/>
    <cellStyle name="Normal 16 3 4 2 2" xfId="1376"/>
    <cellStyle name="Normal 16 3 4 3" xfId="1375"/>
    <cellStyle name="Normal 16 3 5" xfId="586"/>
    <cellStyle name="Normal 16 3 5 2" xfId="1052"/>
    <cellStyle name="Normal 16 3 5 2 2" xfId="1378"/>
    <cellStyle name="Normal 16 3 5 3" xfId="1377"/>
    <cellStyle name="Normal 16 3 6" xfId="252"/>
    <cellStyle name="Normal 16 3 6 2" xfId="881"/>
    <cellStyle name="Normal 16 3 6 2 2" xfId="1380"/>
    <cellStyle name="Normal 16 3 6 3" xfId="1379"/>
    <cellStyle name="Normal 16 3 7" xfId="735"/>
    <cellStyle name="Normal 16 3 7 2" xfId="1381"/>
    <cellStyle name="Normal 16 3 8" xfId="1202"/>
    <cellStyle name="Normal 16 4" xfId="425"/>
    <cellStyle name="Normal 16 4 2" xfId="630"/>
    <cellStyle name="Normal 16 4 2 2" xfId="1096"/>
    <cellStyle name="Normal 16 4 2 2 2" xfId="1384"/>
    <cellStyle name="Normal 16 4 2 3" xfId="1383"/>
    <cellStyle name="Normal 16 4 3" xfId="781"/>
    <cellStyle name="Normal 16 4 3 2" xfId="1385"/>
    <cellStyle name="Normal 16 4 4" xfId="1382"/>
    <cellStyle name="Normal 16 5" xfId="532"/>
    <cellStyle name="Normal 16 5 2" xfId="674"/>
    <cellStyle name="Normal 16 5 2 2" xfId="1139"/>
    <cellStyle name="Normal 16 5 2 2 2" xfId="1388"/>
    <cellStyle name="Normal 16 5 2 3" xfId="1387"/>
    <cellStyle name="Normal 16 5 3" xfId="827"/>
    <cellStyle name="Normal 16 5 3 2" xfId="1389"/>
    <cellStyle name="Normal 16 5 4" xfId="1386"/>
    <cellStyle name="Normal 16 6" xfId="366"/>
    <cellStyle name="Normal 16 6 2" xfId="937"/>
    <cellStyle name="Normal 16 6 2 2" xfId="1391"/>
    <cellStyle name="Normal 16 6 3" xfId="1390"/>
    <cellStyle name="Normal 16 7" xfId="584"/>
    <cellStyle name="Normal 16 7 2" xfId="1050"/>
    <cellStyle name="Normal 16 7 2 2" xfId="1393"/>
    <cellStyle name="Normal 16 7 3" xfId="1392"/>
    <cellStyle name="Normal 16 8" xfId="250"/>
    <cellStyle name="Normal 16 8 2" xfId="879"/>
    <cellStyle name="Normal 16 8 2 2" xfId="1395"/>
    <cellStyle name="Normal 16 8 3" xfId="1394"/>
    <cellStyle name="Normal 16 9" xfId="733"/>
    <cellStyle name="Normal 16 9 2" xfId="1396"/>
    <cellStyle name="Normal 17" xfId="51"/>
    <cellStyle name="Normal 17 2" xfId="428"/>
    <cellStyle name="Normal 17 2 2" xfId="979"/>
    <cellStyle name="Normal 17 3" xfId="332"/>
    <cellStyle name="Normal 17 4" xfId="216"/>
    <cellStyle name="Normal 18" xfId="61"/>
    <cellStyle name="Normal 18 2" xfId="429"/>
    <cellStyle name="Normal 18 2 2" xfId="980"/>
    <cellStyle name="Normal 18 3" xfId="342"/>
    <cellStyle name="Normal 18 4" xfId="226"/>
    <cellStyle name="Normal 19" xfId="42"/>
    <cellStyle name="Normal 19 2" xfId="430"/>
    <cellStyle name="Normal 19 2 2" xfId="981"/>
    <cellStyle name="Normal 19 3" xfId="323"/>
    <cellStyle name="Normal 19 4" xfId="207"/>
    <cellStyle name="Normal 2" xfId="11"/>
    <cellStyle name="Normal 2 2" xfId="114"/>
    <cellStyle name="Normal 2 2 2" xfId="173"/>
    <cellStyle name="Normal 2 2 2 2" xfId="758"/>
    <cellStyle name="Normal 2 3" xfId="726"/>
    <cellStyle name="Normal 20" xfId="47"/>
    <cellStyle name="Normal 20 2" xfId="431"/>
    <cellStyle name="Normal 20 2 2" xfId="982"/>
    <cellStyle name="Normal 20 3" xfId="328"/>
    <cellStyle name="Normal 20 4" xfId="212"/>
    <cellStyle name="Normal 21" xfId="56"/>
    <cellStyle name="Normal 21 2" xfId="432"/>
    <cellStyle name="Normal 21 2 2" xfId="983"/>
    <cellStyle name="Normal 21 3" xfId="337"/>
    <cellStyle name="Normal 21 4" xfId="221"/>
    <cellStyle name="Normal 22" xfId="38"/>
    <cellStyle name="Normal 22 2" xfId="433"/>
    <cellStyle name="Normal 22 2 2" xfId="984"/>
    <cellStyle name="Normal 22 3" xfId="319"/>
    <cellStyle name="Normal 22 4" xfId="203"/>
    <cellStyle name="Normal 23" xfId="34"/>
    <cellStyle name="Normal 23 2" xfId="434"/>
    <cellStyle name="Normal 23 2 2" xfId="985"/>
    <cellStyle name="Normal 23 3" xfId="315"/>
    <cellStyle name="Normal 23 4" xfId="199"/>
    <cellStyle name="Normal 24" xfId="36"/>
    <cellStyle name="Normal 24 2" xfId="435"/>
    <cellStyle name="Normal 24 2 2" xfId="986"/>
    <cellStyle name="Normal 24 3" xfId="317"/>
    <cellStyle name="Normal 24 4" xfId="201"/>
    <cellStyle name="Normal 25" xfId="65"/>
    <cellStyle name="Normal 25 2" xfId="436"/>
    <cellStyle name="Normal 25 2 2" xfId="987"/>
    <cellStyle name="Normal 25 3" xfId="346"/>
    <cellStyle name="Normal 25 4" xfId="230"/>
    <cellStyle name="Normal 26" xfId="76"/>
    <cellStyle name="Normal 26 2" xfId="437"/>
    <cellStyle name="Normal 26 2 2" xfId="988"/>
    <cellStyle name="Normal 26 3" xfId="357"/>
    <cellStyle name="Normal 26 4" xfId="241"/>
    <cellStyle name="Normal 27" xfId="70"/>
    <cellStyle name="Normal 27 2" xfId="438"/>
    <cellStyle name="Normal 27 2 2" xfId="989"/>
    <cellStyle name="Normal 27 3" xfId="351"/>
    <cellStyle name="Normal 27 4" xfId="235"/>
    <cellStyle name="Normal 28" xfId="67"/>
    <cellStyle name="Normal 28 2" xfId="439"/>
    <cellStyle name="Normal 28 2 2" xfId="990"/>
    <cellStyle name="Normal 28 3" xfId="348"/>
    <cellStyle name="Normal 28 4" xfId="232"/>
    <cellStyle name="Normal 29" xfId="58"/>
    <cellStyle name="Normal 29 2" xfId="440"/>
    <cellStyle name="Normal 29 2 2" xfId="991"/>
    <cellStyle name="Normal 29 3" xfId="339"/>
    <cellStyle name="Normal 29 4" xfId="223"/>
    <cellStyle name="Normal 3" xfId="12"/>
    <cellStyle name="Normal 3 2" xfId="115"/>
    <cellStyle name="Normal 3 2 2" xfId="442"/>
    <cellStyle name="Normal 3 2 2 2" xfId="993"/>
    <cellStyle name="Normal 3 2 3" xfId="369"/>
    <cellStyle name="Normal 3 2 4" xfId="253"/>
    <cellStyle name="Normal 3 3" xfId="116"/>
    <cellStyle name="Normal 3 4" xfId="441"/>
    <cellStyle name="Normal 3 4 2" xfId="992"/>
    <cellStyle name="Normal 30" xfId="32"/>
    <cellStyle name="Normal 30 2" xfId="443"/>
    <cellStyle name="Normal 30 2 2" xfId="994"/>
    <cellStyle name="Normal 30 3" xfId="313"/>
    <cellStyle name="Normal 30 4" xfId="197"/>
    <cellStyle name="Normal 31" xfId="63"/>
    <cellStyle name="Normal 31 2" xfId="444"/>
    <cellStyle name="Normal 31 2 2" xfId="995"/>
    <cellStyle name="Normal 31 3" xfId="344"/>
    <cellStyle name="Normal 31 4" xfId="228"/>
    <cellStyle name="Normal 32" xfId="40"/>
    <cellStyle name="Normal 32 2" xfId="445"/>
    <cellStyle name="Normal 32 2 2" xfId="996"/>
    <cellStyle name="Normal 32 3" xfId="321"/>
    <cellStyle name="Normal 32 4" xfId="205"/>
    <cellStyle name="Normal 33" xfId="49"/>
    <cellStyle name="Normal 33 2" xfId="446"/>
    <cellStyle name="Normal 33 2 2" xfId="997"/>
    <cellStyle name="Normal 33 3" xfId="330"/>
    <cellStyle name="Normal 33 4" xfId="214"/>
    <cellStyle name="Normal 34" xfId="74"/>
    <cellStyle name="Normal 34 2" xfId="447"/>
    <cellStyle name="Normal 34 2 2" xfId="998"/>
    <cellStyle name="Normal 34 3" xfId="355"/>
    <cellStyle name="Normal 34 4" xfId="239"/>
    <cellStyle name="Normal 35" xfId="59"/>
    <cellStyle name="Normal 35 2" xfId="448"/>
    <cellStyle name="Normal 35 2 2" xfId="999"/>
    <cellStyle name="Normal 35 3" xfId="340"/>
    <cellStyle name="Normal 35 4" xfId="224"/>
    <cellStyle name="Normal 36" xfId="45"/>
    <cellStyle name="Normal 36 2" xfId="449"/>
    <cellStyle name="Normal 36 2 2" xfId="1000"/>
    <cellStyle name="Normal 36 3" xfId="326"/>
    <cellStyle name="Normal 36 4" xfId="210"/>
    <cellStyle name="Normal 37" xfId="117"/>
    <cellStyle name="Normal 37 2" xfId="118"/>
    <cellStyle name="Normal 37 2 2" xfId="451"/>
    <cellStyle name="Normal 37 2 2 2" xfId="634"/>
    <cellStyle name="Normal 37 2 2 2 2" xfId="1100"/>
    <cellStyle name="Normal 37 2 2 2 2 2" xfId="1399"/>
    <cellStyle name="Normal 37 2 2 2 3" xfId="1398"/>
    <cellStyle name="Normal 37 2 2 3" xfId="786"/>
    <cellStyle name="Normal 37 2 2 3 2" xfId="1400"/>
    <cellStyle name="Normal 37 2 2 4" xfId="1397"/>
    <cellStyle name="Normal 37 2 3" xfId="536"/>
    <cellStyle name="Normal 37 2 3 2" xfId="678"/>
    <cellStyle name="Normal 37 2 3 2 2" xfId="1143"/>
    <cellStyle name="Normal 37 2 3 2 2 2" xfId="1403"/>
    <cellStyle name="Normal 37 2 3 2 3" xfId="1402"/>
    <cellStyle name="Normal 37 2 3 3" xfId="831"/>
    <cellStyle name="Normal 37 2 3 3 2" xfId="1404"/>
    <cellStyle name="Normal 37 2 3 4" xfId="1401"/>
    <cellStyle name="Normal 37 2 4" xfId="371"/>
    <cellStyle name="Normal 37 2 4 2" xfId="941"/>
    <cellStyle name="Normal 37 2 4 2 2" xfId="1406"/>
    <cellStyle name="Normal 37 2 4 3" xfId="1405"/>
    <cellStyle name="Normal 37 2 5" xfId="588"/>
    <cellStyle name="Normal 37 2 5 2" xfId="1054"/>
    <cellStyle name="Normal 37 2 5 2 2" xfId="1408"/>
    <cellStyle name="Normal 37 2 5 3" xfId="1407"/>
    <cellStyle name="Normal 37 2 6" xfId="255"/>
    <cellStyle name="Normal 37 2 6 2" xfId="883"/>
    <cellStyle name="Normal 37 2 6 2 2" xfId="1410"/>
    <cellStyle name="Normal 37 2 6 3" xfId="1409"/>
    <cellStyle name="Normal 37 2 7" xfId="737"/>
    <cellStyle name="Normal 37 2 7 2" xfId="1411"/>
    <cellStyle name="Normal 37 2 8" xfId="1204"/>
    <cellStyle name="Normal 37 3" xfId="450"/>
    <cellStyle name="Normal 37 3 2" xfId="633"/>
    <cellStyle name="Normal 37 3 2 2" xfId="1099"/>
    <cellStyle name="Normal 37 3 2 2 2" xfId="1414"/>
    <cellStyle name="Normal 37 3 2 3" xfId="1413"/>
    <cellStyle name="Normal 37 3 3" xfId="785"/>
    <cellStyle name="Normal 37 3 3 2" xfId="1415"/>
    <cellStyle name="Normal 37 3 4" xfId="1412"/>
    <cellStyle name="Normal 37 4" xfId="535"/>
    <cellStyle name="Normal 37 4 2" xfId="677"/>
    <cellStyle name="Normal 37 4 2 2" xfId="1142"/>
    <cellStyle name="Normal 37 4 2 2 2" xfId="1418"/>
    <cellStyle name="Normal 37 4 2 3" xfId="1417"/>
    <cellStyle name="Normal 37 4 3" xfId="830"/>
    <cellStyle name="Normal 37 4 3 2" xfId="1419"/>
    <cellStyle name="Normal 37 4 4" xfId="1416"/>
    <cellStyle name="Normal 37 5" xfId="370"/>
    <cellStyle name="Normal 37 5 2" xfId="940"/>
    <cellStyle name="Normal 37 5 2 2" xfId="1421"/>
    <cellStyle name="Normal 37 5 3" xfId="1420"/>
    <cellStyle name="Normal 37 6" xfId="587"/>
    <cellStyle name="Normal 37 6 2" xfId="1053"/>
    <cellStyle name="Normal 37 6 2 2" xfId="1423"/>
    <cellStyle name="Normal 37 6 3" xfId="1422"/>
    <cellStyle name="Normal 37 7" xfId="254"/>
    <cellStyle name="Normal 37 7 2" xfId="882"/>
    <cellStyle name="Normal 37 7 2 2" xfId="1425"/>
    <cellStyle name="Normal 37 7 3" xfId="1424"/>
    <cellStyle name="Normal 37 8" xfId="736"/>
    <cellStyle name="Normal 37 8 2" xfId="1426"/>
    <cellStyle name="Normal 37 9" xfId="1203"/>
    <cellStyle name="Normal 38" xfId="119"/>
    <cellStyle name="Normal 38 2" xfId="452"/>
    <cellStyle name="Normal 38 2 2" xfId="635"/>
    <cellStyle name="Normal 38 2 2 2" xfId="1101"/>
    <cellStyle name="Normal 38 2 2 2 2" xfId="1429"/>
    <cellStyle name="Normal 38 2 2 3" xfId="1428"/>
    <cellStyle name="Normal 38 2 3" xfId="787"/>
    <cellStyle name="Normal 38 2 3 2" xfId="1430"/>
    <cellStyle name="Normal 38 2 4" xfId="1427"/>
    <cellStyle name="Normal 38 3" xfId="537"/>
    <cellStyle name="Normal 38 3 2" xfId="679"/>
    <cellStyle name="Normal 38 3 2 2" xfId="1144"/>
    <cellStyle name="Normal 38 3 2 2 2" xfId="1433"/>
    <cellStyle name="Normal 38 3 2 3" xfId="1432"/>
    <cellStyle name="Normal 38 3 3" xfId="832"/>
    <cellStyle name="Normal 38 3 3 2" xfId="1434"/>
    <cellStyle name="Normal 38 3 4" xfId="1431"/>
    <cellStyle name="Normal 38 4" xfId="372"/>
    <cellStyle name="Normal 38 4 2" xfId="942"/>
    <cellStyle name="Normal 38 4 2 2" xfId="1436"/>
    <cellStyle name="Normal 38 4 3" xfId="1435"/>
    <cellStyle name="Normal 38 5" xfId="589"/>
    <cellStyle name="Normal 38 5 2" xfId="1055"/>
    <cellStyle name="Normal 38 5 2 2" xfId="1438"/>
    <cellStyle name="Normal 38 5 3" xfId="1437"/>
    <cellStyle name="Normal 38 6" xfId="256"/>
    <cellStyle name="Normal 38 6 2" xfId="884"/>
    <cellStyle name="Normal 38 6 2 2" xfId="1440"/>
    <cellStyle name="Normal 38 6 3" xfId="1439"/>
    <cellStyle name="Normal 38 7" xfId="738"/>
    <cellStyle name="Normal 38 7 2" xfId="1441"/>
    <cellStyle name="Normal 38 8" xfId="1205"/>
    <cellStyle name="Normal 39" xfId="33"/>
    <cellStyle name="Normal 39 2" xfId="453"/>
    <cellStyle name="Normal 39 2 2" xfId="1001"/>
    <cellStyle name="Normal 39 3" xfId="314"/>
    <cellStyle name="Normal 39 4" xfId="198"/>
    <cellStyle name="Normal 4" xfId="13"/>
    <cellStyle name="Normal 4 2" xfId="175"/>
    <cellStyle name="Normal 4 2 2" xfId="915"/>
    <cellStyle name="Normal 4 3" xfId="454"/>
    <cellStyle name="Normal 4 4" xfId="768"/>
    <cellStyle name="Normal 40" xfId="35"/>
    <cellStyle name="Normal 40 2" xfId="455"/>
    <cellStyle name="Normal 40 2 2" xfId="1002"/>
    <cellStyle name="Normal 40 3" xfId="316"/>
    <cellStyle name="Normal 40 4" xfId="200"/>
    <cellStyle name="Normal 41" xfId="37"/>
    <cellStyle name="Normal 41 2" xfId="456"/>
    <cellStyle name="Normal 41 2 2" xfId="1003"/>
    <cellStyle name="Normal 41 3" xfId="318"/>
    <cellStyle name="Normal 41 4" xfId="202"/>
    <cellStyle name="Normal 42" xfId="39"/>
    <cellStyle name="Normal 42 2" xfId="457"/>
    <cellStyle name="Normal 42 2 2" xfId="1004"/>
    <cellStyle name="Normal 42 3" xfId="320"/>
    <cellStyle name="Normal 42 4" xfId="204"/>
    <cellStyle name="Normal 43" xfId="41"/>
    <cellStyle name="Normal 43 2" xfId="458"/>
    <cellStyle name="Normal 43 2 2" xfId="1005"/>
    <cellStyle name="Normal 43 3" xfId="322"/>
    <cellStyle name="Normal 43 4" xfId="206"/>
    <cellStyle name="Normal 44" xfId="43"/>
    <cellStyle name="Normal 44 2" xfId="459"/>
    <cellStyle name="Normal 44 2 2" xfId="1006"/>
    <cellStyle name="Normal 44 3" xfId="324"/>
    <cellStyle name="Normal 44 4" xfId="208"/>
    <cellStyle name="Normal 45" xfId="44"/>
    <cellStyle name="Normal 45 2" xfId="460"/>
    <cellStyle name="Normal 45 2 2" xfId="1007"/>
    <cellStyle name="Normal 45 3" xfId="325"/>
    <cellStyle name="Normal 45 4" xfId="209"/>
    <cellStyle name="Normal 46" xfId="46"/>
    <cellStyle name="Normal 46 2" xfId="461"/>
    <cellStyle name="Normal 46 2 2" xfId="1008"/>
    <cellStyle name="Normal 46 3" xfId="327"/>
    <cellStyle name="Normal 46 4" xfId="211"/>
    <cellStyle name="Normal 47" xfId="48"/>
    <cellStyle name="Normal 47 2" xfId="462"/>
    <cellStyle name="Normal 47 2 2" xfId="1009"/>
    <cellStyle name="Normal 47 3" xfId="329"/>
    <cellStyle name="Normal 47 4" xfId="213"/>
    <cellStyle name="Normal 48" xfId="50"/>
    <cellStyle name="Normal 48 2" xfId="463"/>
    <cellStyle name="Normal 48 2 2" xfId="1010"/>
    <cellStyle name="Normal 48 3" xfId="331"/>
    <cellStyle name="Normal 48 4" xfId="215"/>
    <cellStyle name="Normal 49" xfId="52"/>
    <cellStyle name="Normal 49 2" xfId="464"/>
    <cellStyle name="Normal 49 2 2" xfId="1011"/>
    <cellStyle name="Normal 49 3" xfId="333"/>
    <cellStyle name="Normal 49 4" xfId="217"/>
    <cellStyle name="Normal 5" xfId="120"/>
    <cellStyle name="Normal 5 10" xfId="739"/>
    <cellStyle name="Normal 5 10 2" xfId="1442"/>
    <cellStyle name="Normal 5 11" xfId="1206"/>
    <cellStyle name="Normal 5 2" xfId="121"/>
    <cellStyle name="Normal 5 2 10" xfId="1207"/>
    <cellStyle name="Normal 5 2 2" xfId="122"/>
    <cellStyle name="Normal 5 2 2 2" xfId="467"/>
    <cellStyle name="Normal 5 2 2 2 2" xfId="638"/>
    <cellStyle name="Normal 5 2 2 2 2 2" xfId="1104"/>
    <cellStyle name="Normal 5 2 2 2 2 2 2" xfId="1445"/>
    <cellStyle name="Normal 5 2 2 2 2 3" xfId="1444"/>
    <cellStyle name="Normal 5 2 2 2 3" xfId="791"/>
    <cellStyle name="Normal 5 2 2 2 3 2" xfId="1446"/>
    <cellStyle name="Normal 5 2 2 2 4" xfId="1443"/>
    <cellStyle name="Normal 5 2 2 3" xfId="541"/>
    <cellStyle name="Normal 5 2 2 3 2" xfId="682"/>
    <cellStyle name="Normal 5 2 2 3 2 2" xfId="1147"/>
    <cellStyle name="Normal 5 2 2 3 2 2 2" xfId="1449"/>
    <cellStyle name="Normal 5 2 2 3 2 3" xfId="1448"/>
    <cellStyle name="Normal 5 2 2 3 3" xfId="835"/>
    <cellStyle name="Normal 5 2 2 3 3 2" xfId="1450"/>
    <cellStyle name="Normal 5 2 2 3 4" xfId="1447"/>
    <cellStyle name="Normal 5 2 2 4" xfId="375"/>
    <cellStyle name="Normal 5 2 2 4 2" xfId="945"/>
    <cellStyle name="Normal 5 2 2 4 2 2" xfId="1452"/>
    <cellStyle name="Normal 5 2 2 4 3" xfId="1451"/>
    <cellStyle name="Normal 5 2 2 5" xfId="592"/>
    <cellStyle name="Normal 5 2 2 5 2" xfId="1058"/>
    <cellStyle name="Normal 5 2 2 5 2 2" xfId="1454"/>
    <cellStyle name="Normal 5 2 2 5 3" xfId="1453"/>
    <cellStyle name="Normal 5 2 2 6" xfId="259"/>
    <cellStyle name="Normal 5 2 2 6 2" xfId="887"/>
    <cellStyle name="Normal 5 2 2 6 2 2" xfId="1456"/>
    <cellStyle name="Normal 5 2 2 6 3" xfId="1455"/>
    <cellStyle name="Normal 5 2 2 7" xfId="741"/>
    <cellStyle name="Normal 5 2 2 7 2" xfId="1457"/>
    <cellStyle name="Normal 5 2 2 8" xfId="1208"/>
    <cellStyle name="Normal 5 2 3" xfId="123"/>
    <cellStyle name="Normal 5 2 3 2" xfId="468"/>
    <cellStyle name="Normal 5 2 3 2 2" xfId="639"/>
    <cellStyle name="Normal 5 2 3 2 2 2" xfId="1105"/>
    <cellStyle name="Normal 5 2 3 2 2 2 2" xfId="1460"/>
    <cellStyle name="Normal 5 2 3 2 2 3" xfId="1459"/>
    <cellStyle name="Normal 5 2 3 2 3" xfId="792"/>
    <cellStyle name="Normal 5 2 3 2 3 2" xfId="1461"/>
    <cellStyle name="Normal 5 2 3 2 4" xfId="1458"/>
    <cellStyle name="Normal 5 2 3 3" xfId="542"/>
    <cellStyle name="Normal 5 2 3 3 2" xfId="683"/>
    <cellStyle name="Normal 5 2 3 3 2 2" xfId="1148"/>
    <cellStyle name="Normal 5 2 3 3 2 2 2" xfId="1464"/>
    <cellStyle name="Normal 5 2 3 3 2 3" xfId="1463"/>
    <cellStyle name="Normal 5 2 3 3 3" xfId="836"/>
    <cellStyle name="Normal 5 2 3 3 3 2" xfId="1465"/>
    <cellStyle name="Normal 5 2 3 3 4" xfId="1462"/>
    <cellStyle name="Normal 5 2 3 4" xfId="376"/>
    <cellStyle name="Normal 5 2 3 4 2" xfId="946"/>
    <cellStyle name="Normal 5 2 3 4 2 2" xfId="1467"/>
    <cellStyle name="Normal 5 2 3 4 3" xfId="1466"/>
    <cellStyle name="Normal 5 2 3 5" xfId="593"/>
    <cellStyle name="Normal 5 2 3 5 2" xfId="1059"/>
    <cellStyle name="Normal 5 2 3 5 2 2" xfId="1469"/>
    <cellStyle name="Normal 5 2 3 5 3" xfId="1468"/>
    <cellStyle name="Normal 5 2 3 6" xfId="260"/>
    <cellStyle name="Normal 5 2 3 6 2" xfId="888"/>
    <cellStyle name="Normal 5 2 3 6 2 2" xfId="1471"/>
    <cellStyle name="Normal 5 2 3 6 3" xfId="1470"/>
    <cellStyle name="Normal 5 2 3 7" xfId="742"/>
    <cellStyle name="Normal 5 2 3 7 2" xfId="1472"/>
    <cellStyle name="Normal 5 2 3 8" xfId="1209"/>
    <cellStyle name="Normal 5 2 4" xfId="466"/>
    <cellStyle name="Normal 5 2 4 2" xfId="637"/>
    <cellStyle name="Normal 5 2 4 2 2" xfId="1103"/>
    <cellStyle name="Normal 5 2 4 2 2 2" xfId="1475"/>
    <cellStyle name="Normal 5 2 4 2 3" xfId="1474"/>
    <cellStyle name="Normal 5 2 4 3" xfId="790"/>
    <cellStyle name="Normal 5 2 4 3 2" xfId="1476"/>
    <cellStyle name="Normal 5 2 4 4" xfId="1473"/>
    <cellStyle name="Normal 5 2 5" xfId="540"/>
    <cellStyle name="Normal 5 2 5 2" xfId="681"/>
    <cellStyle name="Normal 5 2 5 2 2" xfId="1146"/>
    <cellStyle name="Normal 5 2 5 2 2 2" xfId="1479"/>
    <cellStyle name="Normal 5 2 5 2 3" xfId="1478"/>
    <cellStyle name="Normal 5 2 5 3" xfId="834"/>
    <cellStyle name="Normal 5 2 5 3 2" xfId="1480"/>
    <cellStyle name="Normal 5 2 5 4" xfId="1477"/>
    <cellStyle name="Normal 5 2 6" xfId="374"/>
    <cellStyle name="Normal 5 2 6 2" xfId="944"/>
    <cellStyle name="Normal 5 2 6 2 2" xfId="1482"/>
    <cellStyle name="Normal 5 2 6 3" xfId="1481"/>
    <cellStyle name="Normal 5 2 7" xfId="591"/>
    <cellStyle name="Normal 5 2 7 2" xfId="1057"/>
    <cellStyle name="Normal 5 2 7 2 2" xfId="1484"/>
    <cellStyle name="Normal 5 2 7 3" xfId="1483"/>
    <cellStyle name="Normal 5 2 8" xfId="258"/>
    <cellStyle name="Normal 5 2 8 2" xfId="886"/>
    <cellStyle name="Normal 5 2 8 2 2" xfId="1486"/>
    <cellStyle name="Normal 5 2 8 3" xfId="1485"/>
    <cellStyle name="Normal 5 2 9" xfId="740"/>
    <cellStyle name="Normal 5 2 9 2" xfId="1487"/>
    <cellStyle name="Normal 5 3" xfId="124"/>
    <cellStyle name="Normal 5 3 2" xfId="469"/>
    <cellStyle name="Normal 5 3 2 2" xfId="640"/>
    <cellStyle name="Normal 5 3 2 2 2" xfId="1106"/>
    <cellStyle name="Normal 5 3 2 2 2 2" xfId="1490"/>
    <cellStyle name="Normal 5 3 2 2 3" xfId="1489"/>
    <cellStyle name="Normal 5 3 2 3" xfId="793"/>
    <cellStyle name="Normal 5 3 2 3 2" xfId="1491"/>
    <cellStyle name="Normal 5 3 2 4" xfId="1488"/>
    <cellStyle name="Normal 5 3 3" xfId="543"/>
    <cellStyle name="Normal 5 3 3 2" xfId="684"/>
    <cellStyle name="Normal 5 3 3 2 2" xfId="1149"/>
    <cellStyle name="Normal 5 3 3 2 2 2" xfId="1494"/>
    <cellStyle name="Normal 5 3 3 2 3" xfId="1493"/>
    <cellStyle name="Normal 5 3 3 3" xfId="837"/>
    <cellStyle name="Normal 5 3 3 3 2" xfId="1495"/>
    <cellStyle name="Normal 5 3 3 4" xfId="1492"/>
    <cellStyle name="Normal 5 3 4" xfId="377"/>
    <cellStyle name="Normal 5 3 4 2" xfId="947"/>
    <cellStyle name="Normal 5 3 4 2 2" xfId="1497"/>
    <cellStyle name="Normal 5 3 4 3" xfId="1496"/>
    <cellStyle name="Normal 5 3 5" xfId="594"/>
    <cellStyle name="Normal 5 3 5 2" xfId="1060"/>
    <cellStyle name="Normal 5 3 5 2 2" xfId="1499"/>
    <cellStyle name="Normal 5 3 5 3" xfId="1498"/>
    <cellStyle name="Normal 5 3 6" xfId="261"/>
    <cellStyle name="Normal 5 3 6 2" xfId="889"/>
    <cellStyle name="Normal 5 3 6 2 2" xfId="1501"/>
    <cellStyle name="Normal 5 3 6 3" xfId="1500"/>
    <cellStyle name="Normal 5 3 7" xfId="743"/>
    <cellStyle name="Normal 5 3 7 2" xfId="1502"/>
    <cellStyle name="Normal 5 3 8" xfId="1210"/>
    <cellStyle name="Normal 5 4" xfId="125"/>
    <cellStyle name="Normal 5 4 2" xfId="470"/>
    <cellStyle name="Normal 5 4 2 2" xfId="641"/>
    <cellStyle name="Normal 5 4 2 2 2" xfId="1107"/>
    <cellStyle name="Normal 5 4 2 2 2 2" xfId="1505"/>
    <cellStyle name="Normal 5 4 2 2 3" xfId="1504"/>
    <cellStyle name="Normal 5 4 2 3" xfId="794"/>
    <cellStyle name="Normal 5 4 2 3 2" xfId="1506"/>
    <cellStyle name="Normal 5 4 2 4" xfId="1503"/>
    <cellStyle name="Normal 5 4 3" xfId="544"/>
    <cellStyle name="Normal 5 4 3 2" xfId="685"/>
    <cellStyle name="Normal 5 4 3 2 2" xfId="1150"/>
    <cellStyle name="Normal 5 4 3 2 2 2" xfId="1509"/>
    <cellStyle name="Normal 5 4 3 2 3" xfId="1508"/>
    <cellStyle name="Normal 5 4 3 3" xfId="838"/>
    <cellStyle name="Normal 5 4 3 3 2" xfId="1510"/>
    <cellStyle name="Normal 5 4 3 4" xfId="1507"/>
    <cellStyle name="Normal 5 4 4" xfId="378"/>
    <cellStyle name="Normal 5 4 4 2" xfId="948"/>
    <cellStyle name="Normal 5 4 4 2 2" xfId="1512"/>
    <cellStyle name="Normal 5 4 4 3" xfId="1511"/>
    <cellStyle name="Normal 5 4 5" xfId="595"/>
    <cellStyle name="Normal 5 4 5 2" xfId="1061"/>
    <cellStyle name="Normal 5 4 5 2 2" xfId="1514"/>
    <cellStyle name="Normal 5 4 5 3" xfId="1513"/>
    <cellStyle name="Normal 5 4 6" xfId="262"/>
    <cellStyle name="Normal 5 4 6 2" xfId="890"/>
    <cellStyle name="Normal 5 4 6 2 2" xfId="1516"/>
    <cellStyle name="Normal 5 4 6 3" xfId="1515"/>
    <cellStyle name="Normal 5 4 7" xfId="744"/>
    <cellStyle name="Normal 5 4 7 2" xfId="1517"/>
    <cellStyle name="Normal 5 4 8" xfId="1211"/>
    <cellStyle name="Normal 5 5" xfId="465"/>
    <cellStyle name="Normal 5 5 2" xfId="636"/>
    <cellStyle name="Normal 5 5 2 2" xfId="1102"/>
    <cellStyle name="Normal 5 5 2 2 2" xfId="1520"/>
    <cellStyle name="Normal 5 5 2 3" xfId="1519"/>
    <cellStyle name="Normal 5 5 3" xfId="789"/>
    <cellStyle name="Normal 5 5 3 2" xfId="1521"/>
    <cellStyle name="Normal 5 5 4" xfId="1518"/>
    <cellStyle name="Normal 5 6" xfId="539"/>
    <cellStyle name="Normal 5 6 2" xfId="680"/>
    <cellStyle name="Normal 5 6 2 2" xfId="1145"/>
    <cellStyle name="Normal 5 6 2 2 2" xfId="1524"/>
    <cellStyle name="Normal 5 6 2 3" xfId="1523"/>
    <cellStyle name="Normal 5 6 3" xfId="833"/>
    <cellStyle name="Normal 5 6 3 2" xfId="1525"/>
    <cellStyle name="Normal 5 6 4" xfId="1522"/>
    <cellStyle name="Normal 5 7" xfId="373"/>
    <cellStyle name="Normal 5 7 2" xfId="943"/>
    <cellStyle name="Normal 5 7 2 2" xfId="1527"/>
    <cellStyle name="Normal 5 7 3" xfId="1526"/>
    <cellStyle name="Normal 5 8" xfId="590"/>
    <cellStyle name="Normal 5 8 2" xfId="1056"/>
    <cellStyle name="Normal 5 8 2 2" xfId="1529"/>
    <cellStyle name="Normal 5 8 3" xfId="1528"/>
    <cellStyle name="Normal 5 9" xfId="257"/>
    <cellStyle name="Normal 5 9 2" xfId="885"/>
    <cellStyle name="Normal 5 9 2 2" xfId="1531"/>
    <cellStyle name="Normal 5 9 3" xfId="1530"/>
    <cellStyle name="Normal 50" xfId="53"/>
    <cellStyle name="Normal 50 2" xfId="471"/>
    <cellStyle name="Normal 50 2 2" xfId="1012"/>
    <cellStyle name="Normal 50 3" xfId="334"/>
    <cellStyle name="Normal 50 4" xfId="218"/>
    <cellStyle name="Normal 51" xfId="54"/>
    <cellStyle name="Normal 51 2" xfId="472"/>
    <cellStyle name="Normal 51 2 2" xfId="1013"/>
    <cellStyle name="Normal 51 3" xfId="335"/>
    <cellStyle name="Normal 51 4" xfId="219"/>
    <cellStyle name="Normal 52" xfId="55"/>
    <cellStyle name="Normal 52 2" xfId="473"/>
    <cellStyle name="Normal 52 2 2" xfId="1014"/>
    <cellStyle name="Normal 52 3" xfId="336"/>
    <cellStyle name="Normal 52 4" xfId="220"/>
    <cellStyle name="Normal 53" xfId="57"/>
    <cellStyle name="Normal 53 2" xfId="474"/>
    <cellStyle name="Normal 53 2 2" xfId="1015"/>
    <cellStyle name="Normal 53 3" xfId="338"/>
    <cellStyle name="Normal 53 4" xfId="222"/>
    <cellStyle name="Normal 54" xfId="60"/>
    <cellStyle name="Normal 54 2" xfId="475"/>
    <cellStyle name="Normal 54 2 2" xfId="1016"/>
    <cellStyle name="Normal 54 3" xfId="341"/>
    <cellStyle name="Normal 54 4" xfId="225"/>
    <cellStyle name="Normal 55" xfId="62"/>
    <cellStyle name="Normal 55 2" xfId="476"/>
    <cellStyle name="Normal 55 2 2" xfId="1017"/>
    <cellStyle name="Normal 55 3" xfId="343"/>
    <cellStyle name="Normal 55 4" xfId="227"/>
    <cellStyle name="Normal 56" xfId="64"/>
    <cellStyle name="Normal 56 2" xfId="477"/>
    <cellStyle name="Normal 56 2 2" xfId="1018"/>
    <cellStyle name="Normal 56 3" xfId="345"/>
    <cellStyle name="Normal 56 4" xfId="229"/>
    <cellStyle name="Normal 57" xfId="66"/>
    <cellStyle name="Normal 57 2" xfId="478"/>
    <cellStyle name="Normal 57 2 2" xfId="1019"/>
    <cellStyle name="Normal 57 3" xfId="347"/>
    <cellStyle name="Normal 57 4" xfId="231"/>
    <cellStyle name="Normal 58" xfId="68"/>
    <cellStyle name="Normal 58 2" xfId="479"/>
    <cellStyle name="Normal 58 2 2" xfId="1020"/>
    <cellStyle name="Normal 58 3" xfId="349"/>
    <cellStyle name="Normal 58 4" xfId="233"/>
    <cellStyle name="Normal 59" xfId="69"/>
    <cellStyle name="Normal 59 2" xfId="480"/>
    <cellStyle name="Normal 59 2 2" xfId="1021"/>
    <cellStyle name="Normal 59 3" xfId="350"/>
    <cellStyle name="Normal 59 4" xfId="234"/>
    <cellStyle name="Normal 6" xfId="14"/>
    <cellStyle name="Normal 6 10" xfId="191"/>
    <cellStyle name="Normal 6 10 2" xfId="867"/>
    <cellStyle name="Normal 6 10 2 2" xfId="1533"/>
    <cellStyle name="Normal 6 10 3" xfId="1532"/>
    <cellStyle name="Normal 6 11" xfId="724"/>
    <cellStyle name="Normal 6 11 2" xfId="1534"/>
    <cellStyle name="Normal 6 12" xfId="1193"/>
    <cellStyle name="Normal 6 2" xfId="126"/>
    <cellStyle name="Normal 6 2 10" xfId="745"/>
    <cellStyle name="Normal 6 2 10 2" xfId="1535"/>
    <cellStyle name="Normal 6 2 11" xfId="1212"/>
    <cellStyle name="Normal 6 2 2" xfId="127"/>
    <cellStyle name="Normal 6 2 2 10" xfId="1213"/>
    <cellStyle name="Normal 6 2 2 2" xfId="128"/>
    <cellStyle name="Normal 6 2 2 2 2" xfId="484"/>
    <cellStyle name="Normal 6 2 2 2 2 2" xfId="645"/>
    <cellStyle name="Normal 6 2 2 2 2 2 2" xfId="1111"/>
    <cellStyle name="Normal 6 2 2 2 2 2 2 2" xfId="1538"/>
    <cellStyle name="Normal 6 2 2 2 2 2 3" xfId="1537"/>
    <cellStyle name="Normal 6 2 2 2 2 3" xfId="798"/>
    <cellStyle name="Normal 6 2 2 2 2 3 2" xfId="1539"/>
    <cellStyle name="Normal 6 2 2 2 2 4" xfId="1536"/>
    <cellStyle name="Normal 6 2 2 2 3" xfId="547"/>
    <cellStyle name="Normal 6 2 2 2 3 2" xfId="688"/>
    <cellStyle name="Normal 6 2 2 2 3 2 2" xfId="1153"/>
    <cellStyle name="Normal 6 2 2 2 3 2 2 2" xfId="1542"/>
    <cellStyle name="Normal 6 2 2 2 3 2 3" xfId="1541"/>
    <cellStyle name="Normal 6 2 2 2 3 3" xfId="841"/>
    <cellStyle name="Normal 6 2 2 2 3 3 2" xfId="1543"/>
    <cellStyle name="Normal 6 2 2 2 3 4" xfId="1540"/>
    <cellStyle name="Normal 6 2 2 2 4" xfId="381"/>
    <cellStyle name="Normal 6 2 2 2 4 2" xfId="951"/>
    <cellStyle name="Normal 6 2 2 2 4 2 2" xfId="1545"/>
    <cellStyle name="Normal 6 2 2 2 4 3" xfId="1544"/>
    <cellStyle name="Normal 6 2 2 2 5" xfId="598"/>
    <cellStyle name="Normal 6 2 2 2 5 2" xfId="1064"/>
    <cellStyle name="Normal 6 2 2 2 5 2 2" xfId="1547"/>
    <cellStyle name="Normal 6 2 2 2 5 3" xfId="1546"/>
    <cellStyle name="Normal 6 2 2 2 6" xfId="265"/>
    <cellStyle name="Normal 6 2 2 2 6 2" xfId="893"/>
    <cellStyle name="Normal 6 2 2 2 6 2 2" xfId="1549"/>
    <cellStyle name="Normal 6 2 2 2 6 3" xfId="1548"/>
    <cellStyle name="Normal 6 2 2 2 7" xfId="747"/>
    <cellStyle name="Normal 6 2 2 2 7 2" xfId="1550"/>
    <cellStyle name="Normal 6 2 2 2 8" xfId="1214"/>
    <cellStyle name="Normal 6 2 2 3" xfId="129"/>
    <cellStyle name="Normal 6 2 2 3 2" xfId="485"/>
    <cellStyle name="Normal 6 2 2 3 2 2" xfId="646"/>
    <cellStyle name="Normal 6 2 2 3 2 2 2" xfId="1112"/>
    <cellStyle name="Normal 6 2 2 3 2 2 2 2" xfId="1553"/>
    <cellStyle name="Normal 6 2 2 3 2 2 3" xfId="1552"/>
    <cellStyle name="Normal 6 2 2 3 2 3" xfId="799"/>
    <cellStyle name="Normal 6 2 2 3 2 3 2" xfId="1554"/>
    <cellStyle name="Normal 6 2 2 3 2 4" xfId="1551"/>
    <cellStyle name="Normal 6 2 2 3 3" xfId="548"/>
    <cellStyle name="Normal 6 2 2 3 3 2" xfId="689"/>
    <cellStyle name="Normal 6 2 2 3 3 2 2" xfId="1154"/>
    <cellStyle name="Normal 6 2 2 3 3 2 2 2" xfId="1557"/>
    <cellStyle name="Normal 6 2 2 3 3 2 3" xfId="1556"/>
    <cellStyle name="Normal 6 2 2 3 3 3" xfId="842"/>
    <cellStyle name="Normal 6 2 2 3 3 3 2" xfId="1558"/>
    <cellStyle name="Normal 6 2 2 3 3 4" xfId="1555"/>
    <cellStyle name="Normal 6 2 2 3 4" xfId="382"/>
    <cellStyle name="Normal 6 2 2 3 4 2" xfId="952"/>
    <cellStyle name="Normal 6 2 2 3 4 2 2" xfId="1560"/>
    <cellStyle name="Normal 6 2 2 3 4 3" xfId="1559"/>
    <cellStyle name="Normal 6 2 2 3 5" xfId="599"/>
    <cellStyle name="Normal 6 2 2 3 5 2" xfId="1065"/>
    <cellStyle name="Normal 6 2 2 3 5 2 2" xfId="1562"/>
    <cellStyle name="Normal 6 2 2 3 5 3" xfId="1561"/>
    <cellStyle name="Normal 6 2 2 3 6" xfId="266"/>
    <cellStyle name="Normal 6 2 2 3 6 2" xfId="894"/>
    <cellStyle name="Normal 6 2 2 3 6 2 2" xfId="1564"/>
    <cellStyle name="Normal 6 2 2 3 6 3" xfId="1563"/>
    <cellStyle name="Normal 6 2 2 3 7" xfId="748"/>
    <cellStyle name="Normal 6 2 2 3 7 2" xfId="1565"/>
    <cellStyle name="Normal 6 2 2 3 8" xfId="1215"/>
    <cellStyle name="Normal 6 2 2 4" xfId="483"/>
    <cellStyle name="Normal 6 2 2 4 2" xfId="644"/>
    <cellStyle name="Normal 6 2 2 4 2 2" xfId="1110"/>
    <cellStyle name="Normal 6 2 2 4 2 2 2" xfId="1568"/>
    <cellStyle name="Normal 6 2 2 4 2 3" xfId="1567"/>
    <cellStyle name="Normal 6 2 2 4 3" xfId="797"/>
    <cellStyle name="Normal 6 2 2 4 3 2" xfId="1569"/>
    <cellStyle name="Normal 6 2 2 4 4" xfId="1566"/>
    <cellStyle name="Normal 6 2 2 5" xfId="546"/>
    <cellStyle name="Normal 6 2 2 5 2" xfId="687"/>
    <cellStyle name="Normal 6 2 2 5 2 2" xfId="1152"/>
    <cellStyle name="Normal 6 2 2 5 2 2 2" xfId="1572"/>
    <cellStyle name="Normal 6 2 2 5 2 3" xfId="1571"/>
    <cellStyle name="Normal 6 2 2 5 3" xfId="840"/>
    <cellStyle name="Normal 6 2 2 5 3 2" xfId="1573"/>
    <cellStyle name="Normal 6 2 2 5 4" xfId="1570"/>
    <cellStyle name="Normal 6 2 2 6" xfId="380"/>
    <cellStyle name="Normal 6 2 2 6 2" xfId="950"/>
    <cellStyle name="Normal 6 2 2 6 2 2" xfId="1575"/>
    <cellStyle name="Normal 6 2 2 6 3" xfId="1574"/>
    <cellStyle name="Normal 6 2 2 7" xfId="597"/>
    <cellStyle name="Normal 6 2 2 7 2" xfId="1063"/>
    <cellStyle name="Normal 6 2 2 7 2 2" xfId="1577"/>
    <cellStyle name="Normal 6 2 2 7 3" xfId="1576"/>
    <cellStyle name="Normal 6 2 2 8" xfId="264"/>
    <cellStyle name="Normal 6 2 2 8 2" xfId="892"/>
    <cellStyle name="Normal 6 2 2 8 2 2" xfId="1579"/>
    <cellStyle name="Normal 6 2 2 8 3" xfId="1578"/>
    <cellStyle name="Normal 6 2 2 9" xfId="746"/>
    <cellStyle name="Normal 6 2 2 9 2" xfId="1580"/>
    <cellStyle name="Normal 6 2 3" xfId="130"/>
    <cellStyle name="Normal 6 2 3 2" xfId="486"/>
    <cellStyle name="Normal 6 2 3 2 2" xfId="647"/>
    <cellStyle name="Normal 6 2 3 2 2 2" xfId="1113"/>
    <cellStyle name="Normal 6 2 3 2 2 2 2" xfId="1583"/>
    <cellStyle name="Normal 6 2 3 2 2 3" xfId="1582"/>
    <cellStyle name="Normal 6 2 3 2 3" xfId="800"/>
    <cellStyle name="Normal 6 2 3 2 3 2" xfId="1584"/>
    <cellStyle name="Normal 6 2 3 2 4" xfId="1581"/>
    <cellStyle name="Normal 6 2 3 3" xfId="549"/>
    <cellStyle name="Normal 6 2 3 3 2" xfId="690"/>
    <cellStyle name="Normal 6 2 3 3 2 2" xfId="1155"/>
    <cellStyle name="Normal 6 2 3 3 2 2 2" xfId="1587"/>
    <cellStyle name="Normal 6 2 3 3 2 3" xfId="1586"/>
    <cellStyle name="Normal 6 2 3 3 3" xfId="843"/>
    <cellStyle name="Normal 6 2 3 3 3 2" xfId="1588"/>
    <cellStyle name="Normal 6 2 3 3 4" xfId="1585"/>
    <cellStyle name="Normal 6 2 3 4" xfId="383"/>
    <cellStyle name="Normal 6 2 3 4 2" xfId="953"/>
    <cellStyle name="Normal 6 2 3 4 2 2" xfId="1590"/>
    <cellStyle name="Normal 6 2 3 4 3" xfId="1589"/>
    <cellStyle name="Normal 6 2 3 5" xfId="600"/>
    <cellStyle name="Normal 6 2 3 5 2" xfId="1066"/>
    <cellStyle name="Normal 6 2 3 5 2 2" xfId="1592"/>
    <cellStyle name="Normal 6 2 3 5 3" xfId="1591"/>
    <cellStyle name="Normal 6 2 3 6" xfId="267"/>
    <cellStyle name="Normal 6 2 3 6 2" xfId="895"/>
    <cellStyle name="Normal 6 2 3 6 2 2" xfId="1594"/>
    <cellStyle name="Normal 6 2 3 6 3" xfId="1593"/>
    <cellStyle name="Normal 6 2 3 7" xfId="749"/>
    <cellStyle name="Normal 6 2 3 7 2" xfId="1595"/>
    <cellStyle name="Normal 6 2 3 8" xfId="1216"/>
    <cellStyle name="Normal 6 2 4" xfId="131"/>
    <cellStyle name="Normal 6 2 4 2" xfId="487"/>
    <cellStyle name="Normal 6 2 4 2 2" xfId="648"/>
    <cellStyle name="Normal 6 2 4 2 2 2" xfId="1114"/>
    <cellStyle name="Normal 6 2 4 2 2 2 2" xfId="1598"/>
    <cellStyle name="Normal 6 2 4 2 2 3" xfId="1597"/>
    <cellStyle name="Normal 6 2 4 2 3" xfId="801"/>
    <cellStyle name="Normal 6 2 4 2 3 2" xfId="1599"/>
    <cellStyle name="Normal 6 2 4 2 4" xfId="1596"/>
    <cellStyle name="Normal 6 2 4 3" xfId="550"/>
    <cellStyle name="Normal 6 2 4 3 2" xfId="691"/>
    <cellStyle name="Normal 6 2 4 3 2 2" xfId="1156"/>
    <cellStyle name="Normal 6 2 4 3 2 2 2" xfId="1602"/>
    <cellStyle name="Normal 6 2 4 3 2 3" xfId="1601"/>
    <cellStyle name="Normal 6 2 4 3 3" xfId="844"/>
    <cellStyle name="Normal 6 2 4 3 3 2" xfId="1603"/>
    <cellStyle name="Normal 6 2 4 3 4" xfId="1600"/>
    <cellStyle name="Normal 6 2 4 4" xfId="384"/>
    <cellStyle name="Normal 6 2 4 4 2" xfId="954"/>
    <cellStyle name="Normal 6 2 4 4 2 2" xfId="1605"/>
    <cellStyle name="Normal 6 2 4 4 3" xfId="1604"/>
    <cellStyle name="Normal 6 2 4 5" xfId="601"/>
    <cellStyle name="Normal 6 2 4 5 2" xfId="1067"/>
    <cellStyle name="Normal 6 2 4 5 2 2" xfId="1607"/>
    <cellStyle name="Normal 6 2 4 5 3" xfId="1606"/>
    <cellStyle name="Normal 6 2 4 6" xfId="268"/>
    <cellStyle name="Normal 6 2 4 6 2" xfId="896"/>
    <cellStyle name="Normal 6 2 4 6 2 2" xfId="1609"/>
    <cellStyle name="Normal 6 2 4 6 3" xfId="1608"/>
    <cellStyle name="Normal 6 2 4 7" xfId="750"/>
    <cellStyle name="Normal 6 2 4 7 2" xfId="1610"/>
    <cellStyle name="Normal 6 2 4 8" xfId="1217"/>
    <cellStyle name="Normal 6 2 5" xfId="482"/>
    <cellStyle name="Normal 6 2 5 2" xfId="643"/>
    <cellStyle name="Normal 6 2 5 2 2" xfId="1109"/>
    <cellStyle name="Normal 6 2 5 2 2 2" xfId="1613"/>
    <cellStyle name="Normal 6 2 5 2 3" xfId="1612"/>
    <cellStyle name="Normal 6 2 5 3" xfId="796"/>
    <cellStyle name="Normal 6 2 5 3 2" xfId="1614"/>
    <cellStyle name="Normal 6 2 5 4" xfId="1611"/>
    <cellStyle name="Normal 6 2 6" xfId="545"/>
    <cellStyle name="Normal 6 2 6 2" xfId="686"/>
    <cellStyle name="Normal 6 2 6 2 2" xfId="1151"/>
    <cellStyle name="Normal 6 2 6 2 2 2" xfId="1617"/>
    <cellStyle name="Normal 6 2 6 2 3" xfId="1616"/>
    <cellStyle name="Normal 6 2 6 3" xfId="839"/>
    <cellStyle name="Normal 6 2 6 3 2" xfId="1618"/>
    <cellStyle name="Normal 6 2 6 4" xfId="1615"/>
    <cellStyle name="Normal 6 2 7" xfId="379"/>
    <cellStyle name="Normal 6 2 7 2" xfId="949"/>
    <cellStyle name="Normal 6 2 7 2 2" xfId="1620"/>
    <cellStyle name="Normal 6 2 7 3" xfId="1619"/>
    <cellStyle name="Normal 6 2 8" xfId="596"/>
    <cellStyle name="Normal 6 2 8 2" xfId="1062"/>
    <cellStyle name="Normal 6 2 8 2 2" xfId="1622"/>
    <cellStyle name="Normal 6 2 8 3" xfId="1621"/>
    <cellStyle name="Normal 6 2 9" xfId="263"/>
    <cellStyle name="Normal 6 2 9 2" xfId="891"/>
    <cellStyle name="Normal 6 2 9 2 2" xfId="1624"/>
    <cellStyle name="Normal 6 2 9 3" xfId="1623"/>
    <cellStyle name="Normal 6 3" xfId="132"/>
    <cellStyle name="Normal 6 3 10" xfId="1218"/>
    <cellStyle name="Normal 6 3 2" xfId="133"/>
    <cellStyle name="Normal 6 3 2 2" xfId="489"/>
    <cellStyle name="Normal 6 3 2 2 2" xfId="650"/>
    <cellStyle name="Normal 6 3 2 2 2 2" xfId="1116"/>
    <cellStyle name="Normal 6 3 2 2 2 2 2" xfId="1627"/>
    <cellStyle name="Normal 6 3 2 2 2 3" xfId="1626"/>
    <cellStyle name="Normal 6 3 2 2 3" xfId="803"/>
    <cellStyle name="Normal 6 3 2 2 3 2" xfId="1628"/>
    <cellStyle name="Normal 6 3 2 2 4" xfId="1625"/>
    <cellStyle name="Normal 6 3 2 3" xfId="552"/>
    <cellStyle name="Normal 6 3 2 3 2" xfId="693"/>
    <cellStyle name="Normal 6 3 2 3 2 2" xfId="1158"/>
    <cellStyle name="Normal 6 3 2 3 2 2 2" xfId="1631"/>
    <cellStyle name="Normal 6 3 2 3 2 3" xfId="1630"/>
    <cellStyle name="Normal 6 3 2 3 3" xfId="846"/>
    <cellStyle name="Normal 6 3 2 3 3 2" xfId="1632"/>
    <cellStyle name="Normal 6 3 2 3 4" xfId="1629"/>
    <cellStyle name="Normal 6 3 2 4" xfId="386"/>
    <cellStyle name="Normal 6 3 2 4 2" xfId="956"/>
    <cellStyle name="Normal 6 3 2 4 2 2" xfId="1634"/>
    <cellStyle name="Normal 6 3 2 4 3" xfId="1633"/>
    <cellStyle name="Normal 6 3 2 5" xfId="603"/>
    <cellStyle name="Normal 6 3 2 5 2" xfId="1069"/>
    <cellStyle name="Normal 6 3 2 5 2 2" xfId="1636"/>
    <cellStyle name="Normal 6 3 2 5 3" xfId="1635"/>
    <cellStyle name="Normal 6 3 2 6" xfId="270"/>
    <cellStyle name="Normal 6 3 2 6 2" xfId="898"/>
    <cellStyle name="Normal 6 3 2 6 2 2" xfId="1638"/>
    <cellStyle name="Normal 6 3 2 6 3" xfId="1637"/>
    <cellStyle name="Normal 6 3 2 7" xfId="752"/>
    <cellStyle name="Normal 6 3 2 7 2" xfId="1639"/>
    <cellStyle name="Normal 6 3 2 8" xfId="1219"/>
    <cellStyle name="Normal 6 3 3" xfId="134"/>
    <cellStyle name="Normal 6 3 3 2" xfId="490"/>
    <cellStyle name="Normal 6 3 3 2 2" xfId="651"/>
    <cellStyle name="Normal 6 3 3 2 2 2" xfId="1117"/>
    <cellStyle name="Normal 6 3 3 2 2 2 2" xfId="1642"/>
    <cellStyle name="Normal 6 3 3 2 2 3" xfId="1641"/>
    <cellStyle name="Normal 6 3 3 2 3" xfId="804"/>
    <cellStyle name="Normal 6 3 3 2 3 2" xfId="1643"/>
    <cellStyle name="Normal 6 3 3 2 4" xfId="1640"/>
    <cellStyle name="Normal 6 3 3 3" xfId="553"/>
    <cellStyle name="Normal 6 3 3 3 2" xfId="694"/>
    <cellStyle name="Normal 6 3 3 3 2 2" xfId="1159"/>
    <cellStyle name="Normal 6 3 3 3 2 2 2" xfId="1646"/>
    <cellStyle name="Normal 6 3 3 3 2 3" xfId="1645"/>
    <cellStyle name="Normal 6 3 3 3 3" xfId="847"/>
    <cellStyle name="Normal 6 3 3 3 3 2" xfId="1647"/>
    <cellStyle name="Normal 6 3 3 3 4" xfId="1644"/>
    <cellStyle name="Normal 6 3 3 4" xfId="387"/>
    <cellStyle name="Normal 6 3 3 4 2" xfId="957"/>
    <cellStyle name="Normal 6 3 3 4 2 2" xfId="1649"/>
    <cellStyle name="Normal 6 3 3 4 3" xfId="1648"/>
    <cellStyle name="Normal 6 3 3 5" xfId="604"/>
    <cellStyle name="Normal 6 3 3 5 2" xfId="1070"/>
    <cellStyle name="Normal 6 3 3 5 2 2" xfId="1651"/>
    <cellStyle name="Normal 6 3 3 5 3" xfId="1650"/>
    <cellStyle name="Normal 6 3 3 6" xfId="271"/>
    <cellStyle name="Normal 6 3 3 6 2" xfId="899"/>
    <cellStyle name="Normal 6 3 3 6 2 2" xfId="1653"/>
    <cellStyle name="Normal 6 3 3 6 3" xfId="1652"/>
    <cellStyle name="Normal 6 3 3 7" xfId="753"/>
    <cellStyle name="Normal 6 3 3 7 2" xfId="1654"/>
    <cellStyle name="Normal 6 3 3 8" xfId="1220"/>
    <cellStyle name="Normal 6 3 4" xfId="488"/>
    <cellStyle name="Normal 6 3 4 2" xfId="649"/>
    <cellStyle name="Normal 6 3 4 2 2" xfId="1115"/>
    <cellStyle name="Normal 6 3 4 2 2 2" xfId="1657"/>
    <cellStyle name="Normal 6 3 4 2 3" xfId="1656"/>
    <cellStyle name="Normal 6 3 4 3" xfId="802"/>
    <cellStyle name="Normal 6 3 4 3 2" xfId="1658"/>
    <cellStyle name="Normal 6 3 4 4" xfId="1655"/>
    <cellStyle name="Normal 6 3 5" xfId="551"/>
    <cellStyle name="Normal 6 3 5 2" xfId="692"/>
    <cellStyle name="Normal 6 3 5 2 2" xfId="1157"/>
    <cellStyle name="Normal 6 3 5 2 2 2" xfId="1661"/>
    <cellStyle name="Normal 6 3 5 2 3" xfId="1660"/>
    <cellStyle name="Normal 6 3 5 3" xfId="845"/>
    <cellStyle name="Normal 6 3 5 3 2" xfId="1662"/>
    <cellStyle name="Normal 6 3 5 4" xfId="1659"/>
    <cellStyle name="Normal 6 3 6" xfId="385"/>
    <cellStyle name="Normal 6 3 6 2" xfId="955"/>
    <cellStyle name="Normal 6 3 6 2 2" xfId="1664"/>
    <cellStyle name="Normal 6 3 6 3" xfId="1663"/>
    <cellStyle name="Normal 6 3 7" xfId="602"/>
    <cellStyle name="Normal 6 3 7 2" xfId="1068"/>
    <cellStyle name="Normal 6 3 7 2 2" xfId="1666"/>
    <cellStyle name="Normal 6 3 7 3" xfId="1665"/>
    <cellStyle name="Normal 6 3 8" xfId="269"/>
    <cellStyle name="Normal 6 3 8 2" xfId="897"/>
    <cellStyle name="Normal 6 3 8 2 2" xfId="1668"/>
    <cellStyle name="Normal 6 3 8 3" xfId="1667"/>
    <cellStyle name="Normal 6 3 9" xfId="751"/>
    <cellStyle name="Normal 6 3 9 2" xfId="1669"/>
    <cellStyle name="Normal 6 4" xfId="135"/>
    <cellStyle name="Normal 6 4 2" xfId="491"/>
    <cellStyle name="Normal 6 4 2 2" xfId="652"/>
    <cellStyle name="Normal 6 4 2 2 2" xfId="1118"/>
    <cellStyle name="Normal 6 4 2 2 2 2" xfId="1672"/>
    <cellStyle name="Normal 6 4 2 2 3" xfId="1671"/>
    <cellStyle name="Normal 6 4 2 3" xfId="805"/>
    <cellStyle name="Normal 6 4 2 3 2" xfId="1673"/>
    <cellStyle name="Normal 6 4 2 4" xfId="1670"/>
    <cellStyle name="Normal 6 4 3" xfId="554"/>
    <cellStyle name="Normal 6 4 3 2" xfId="695"/>
    <cellStyle name="Normal 6 4 3 2 2" xfId="1160"/>
    <cellStyle name="Normal 6 4 3 2 2 2" xfId="1676"/>
    <cellStyle name="Normal 6 4 3 2 3" xfId="1675"/>
    <cellStyle name="Normal 6 4 3 3" xfId="848"/>
    <cellStyle name="Normal 6 4 3 3 2" xfId="1677"/>
    <cellStyle name="Normal 6 4 3 4" xfId="1674"/>
    <cellStyle name="Normal 6 4 4" xfId="388"/>
    <cellStyle name="Normal 6 4 4 2" xfId="958"/>
    <cellStyle name="Normal 6 4 4 2 2" xfId="1679"/>
    <cellStyle name="Normal 6 4 4 3" xfId="1678"/>
    <cellStyle name="Normal 6 4 5" xfId="605"/>
    <cellStyle name="Normal 6 4 5 2" xfId="1071"/>
    <cellStyle name="Normal 6 4 5 2 2" xfId="1681"/>
    <cellStyle name="Normal 6 4 5 3" xfId="1680"/>
    <cellStyle name="Normal 6 4 6" xfId="272"/>
    <cellStyle name="Normal 6 4 6 2" xfId="900"/>
    <cellStyle name="Normal 6 4 6 2 2" xfId="1683"/>
    <cellStyle name="Normal 6 4 6 3" xfId="1682"/>
    <cellStyle name="Normal 6 4 7" xfId="754"/>
    <cellStyle name="Normal 6 4 7 2" xfId="1684"/>
    <cellStyle name="Normal 6 4 8" xfId="1221"/>
    <cellStyle name="Normal 6 5" xfId="136"/>
    <cellStyle name="Normal 6 5 2" xfId="492"/>
    <cellStyle name="Normal 6 5 2 2" xfId="653"/>
    <cellStyle name="Normal 6 5 2 2 2" xfId="1119"/>
    <cellStyle name="Normal 6 5 2 2 2 2" xfId="1687"/>
    <cellStyle name="Normal 6 5 2 2 3" xfId="1686"/>
    <cellStyle name="Normal 6 5 2 3" xfId="806"/>
    <cellStyle name="Normal 6 5 2 3 2" xfId="1688"/>
    <cellStyle name="Normal 6 5 2 4" xfId="1685"/>
    <cellStyle name="Normal 6 5 3" xfId="555"/>
    <cellStyle name="Normal 6 5 3 2" xfId="696"/>
    <cellStyle name="Normal 6 5 3 2 2" xfId="1161"/>
    <cellStyle name="Normal 6 5 3 2 2 2" xfId="1691"/>
    <cellStyle name="Normal 6 5 3 2 3" xfId="1690"/>
    <cellStyle name="Normal 6 5 3 3" xfId="849"/>
    <cellStyle name="Normal 6 5 3 3 2" xfId="1692"/>
    <cellStyle name="Normal 6 5 3 4" xfId="1689"/>
    <cellStyle name="Normal 6 5 4" xfId="389"/>
    <cellStyle name="Normal 6 5 4 2" xfId="959"/>
    <cellStyle name="Normal 6 5 4 2 2" xfId="1694"/>
    <cellStyle name="Normal 6 5 4 3" xfId="1693"/>
    <cellStyle name="Normal 6 5 5" xfId="606"/>
    <cellStyle name="Normal 6 5 5 2" xfId="1072"/>
    <cellStyle name="Normal 6 5 5 2 2" xfId="1696"/>
    <cellStyle name="Normal 6 5 5 3" xfId="1695"/>
    <cellStyle name="Normal 6 5 6" xfId="273"/>
    <cellStyle name="Normal 6 5 6 2" xfId="901"/>
    <cellStyle name="Normal 6 5 6 2 2" xfId="1698"/>
    <cellStyle name="Normal 6 5 6 3" xfId="1697"/>
    <cellStyle name="Normal 6 5 7" xfId="755"/>
    <cellStyle name="Normal 6 5 7 2" xfId="1699"/>
    <cellStyle name="Normal 6 5 8" xfId="1222"/>
    <cellStyle name="Normal 6 6" xfId="481"/>
    <cellStyle name="Normal 6 6 2" xfId="642"/>
    <cellStyle name="Normal 6 6 2 2" xfId="1108"/>
    <cellStyle name="Normal 6 6 2 2 2" xfId="1702"/>
    <cellStyle name="Normal 6 6 2 3" xfId="1701"/>
    <cellStyle name="Normal 6 6 3" xfId="795"/>
    <cellStyle name="Normal 6 6 3 2" xfId="1703"/>
    <cellStyle name="Normal 6 6 4" xfId="1700"/>
    <cellStyle name="Normal 6 7" xfId="526"/>
    <cellStyle name="Normal 6 7 2" xfId="668"/>
    <cellStyle name="Normal 6 7 2 2" xfId="1133"/>
    <cellStyle name="Normal 6 7 2 2 2" xfId="1706"/>
    <cellStyle name="Normal 6 7 2 3" xfId="1705"/>
    <cellStyle name="Normal 6 7 3" xfId="821"/>
    <cellStyle name="Normal 6 7 3 2" xfId="1707"/>
    <cellStyle name="Normal 6 7 4" xfId="1704"/>
    <cellStyle name="Normal 6 8" xfId="307"/>
    <cellStyle name="Normal 6 8 2" xfId="930"/>
    <cellStyle name="Normal 6 8 2 2" xfId="1709"/>
    <cellStyle name="Normal 6 8 3" xfId="1708"/>
    <cellStyle name="Normal 6 9" xfId="577"/>
    <cellStyle name="Normal 6 9 2" xfId="1043"/>
    <cellStyle name="Normal 6 9 2 2" xfId="1711"/>
    <cellStyle name="Normal 6 9 3" xfId="1710"/>
    <cellStyle name="Normal 60" xfId="71"/>
    <cellStyle name="Normal 60 2" xfId="493"/>
    <cellStyle name="Normal 60 2 2" xfId="1022"/>
    <cellStyle name="Normal 60 3" xfId="352"/>
    <cellStyle name="Normal 60 4" xfId="236"/>
    <cellStyle name="Normal 61" xfId="72"/>
    <cellStyle name="Normal 61 2" xfId="494"/>
    <cellStyle name="Normal 61 2 2" xfId="1023"/>
    <cellStyle name="Normal 61 3" xfId="353"/>
    <cellStyle name="Normal 61 4" xfId="237"/>
    <cellStyle name="Normal 62" xfId="73"/>
    <cellStyle name="Normal 62 2" xfId="495"/>
    <cellStyle name="Normal 62 2 2" xfId="1024"/>
    <cellStyle name="Normal 62 3" xfId="354"/>
    <cellStyle name="Normal 62 4" xfId="238"/>
    <cellStyle name="Normal 63" xfId="75"/>
    <cellStyle name="Normal 63 2" xfId="496"/>
    <cellStyle name="Normal 63 2 2" xfId="1025"/>
    <cellStyle name="Normal 63 3" xfId="356"/>
    <cellStyle name="Normal 63 4" xfId="240"/>
    <cellStyle name="Normal 64" xfId="182"/>
    <cellStyle name="Normal 64 2" xfId="183"/>
    <cellStyle name="Normal 64 2 2" xfId="923"/>
    <cellStyle name="Normal 64 3" xfId="413"/>
    <cellStyle name="Normal 64 3 2" xfId="973"/>
    <cellStyle name="Normal 64 3 2 2" xfId="1713"/>
    <cellStyle name="Normal 64 3 3" xfId="1712"/>
    <cellStyle name="Normal 64 4" xfId="620"/>
    <cellStyle name="Normal 64 4 2" xfId="1086"/>
    <cellStyle name="Normal 64 4 2 2" xfId="1715"/>
    <cellStyle name="Normal 64 4 3" xfId="1714"/>
    <cellStyle name="Normal 64 5" xfId="297"/>
    <cellStyle name="Normal 64 5 2" xfId="922"/>
    <cellStyle name="Normal 64 5 2 2" xfId="1717"/>
    <cellStyle name="Normal 64 5 3" xfId="1716"/>
    <cellStyle name="Normal 64 6" xfId="771"/>
    <cellStyle name="Normal 64 6 2" xfId="1718"/>
    <cellStyle name="Normal 64 7" xfId="1236"/>
    <cellStyle name="Normal 65" xfId="184"/>
    <cellStyle name="Normal 65 2" xfId="571"/>
    <cellStyle name="Normal 65 2 2" xfId="712"/>
    <cellStyle name="Normal 65 2 2 2" xfId="1177"/>
    <cellStyle name="Normal 65 2 2 2 2" xfId="1721"/>
    <cellStyle name="Normal 65 2 2 3" xfId="1720"/>
    <cellStyle name="Normal 65 2 3" xfId="865"/>
    <cellStyle name="Normal 65 2 3 2" xfId="1722"/>
    <cellStyle name="Normal 65 2 4" xfId="1719"/>
    <cellStyle name="Normal 65 3" xfId="924"/>
    <cellStyle name="Normal 66" xfId="298"/>
    <cellStyle name="Normal 66 2" xfId="523"/>
    <cellStyle name="Normal 66 3" xfId="415"/>
    <cellStyle name="Normal 66 3 2" xfId="975"/>
    <cellStyle name="Normal 66 3 2 2" xfId="1724"/>
    <cellStyle name="Normal 66 3 3" xfId="1723"/>
    <cellStyle name="Normal 66 4" xfId="622"/>
    <cellStyle name="Normal 66 4 2" xfId="1088"/>
    <cellStyle name="Normal 66 4 2 2" xfId="1726"/>
    <cellStyle name="Normal 66 4 3" xfId="1725"/>
    <cellStyle name="Normal 66 5" xfId="773"/>
    <cellStyle name="Normal 66 5 2" xfId="1727"/>
    <cellStyle name="Normal 67" xfId="416"/>
    <cellStyle name="Normal 67 2" xfId="623"/>
    <cellStyle name="Normal 67 2 2" xfId="1089"/>
    <cellStyle name="Normal 67 2 2 2" xfId="1730"/>
    <cellStyle name="Normal 67 2 3" xfId="1729"/>
    <cellStyle name="Normal 67 3" xfId="774"/>
    <cellStyle name="Normal 67 3 2" xfId="1731"/>
    <cellStyle name="Normal 67 4" xfId="1728"/>
    <cellStyle name="Normal 68" xfId="538"/>
    <cellStyle name="Normal 69" xfId="305"/>
    <cellStyle name="Normal 7" xfId="15"/>
    <cellStyle name="Normal 7 2" xfId="137"/>
    <cellStyle name="Normal 7 2 2" xfId="498"/>
    <cellStyle name="Normal 7 2 2 2" xfId="1027"/>
    <cellStyle name="Normal 7 2 3" xfId="390"/>
    <cellStyle name="Normal 7 2 4" xfId="274"/>
    <cellStyle name="Normal 7 3" xfId="497"/>
    <cellStyle name="Normal 7 3 2" xfId="1026"/>
    <cellStyle name="Normal 7 4" xfId="308"/>
    <cellStyle name="Normal 7 5" xfId="192"/>
    <cellStyle name="Normal 70" xfId="409"/>
    <cellStyle name="Normal 71" xfId="572"/>
    <cellStyle name="Normal 72" xfId="573"/>
    <cellStyle name="Normal 73" xfId="306"/>
    <cellStyle name="Normal 74" xfId="575"/>
    <cellStyle name="Normal 75" xfId="574"/>
    <cellStyle name="Normal 76" xfId="576"/>
    <cellStyle name="Normal 77" xfId="656"/>
    <cellStyle name="Normal 78" xfId="713"/>
    <cellStyle name="Normal 79" xfId="714"/>
    <cellStyle name="Normal 8" xfId="138"/>
    <cellStyle name="Normal 8 2" xfId="139"/>
    <cellStyle name="Normal 8 2 2" xfId="500"/>
    <cellStyle name="Normal 8 2 2 2" xfId="1029"/>
    <cellStyle name="Normal 8 2 3" xfId="392"/>
    <cellStyle name="Normal 8 2 4" xfId="276"/>
    <cellStyle name="Normal 8 3" xfId="499"/>
    <cellStyle name="Normal 8 3 2" xfId="1028"/>
    <cellStyle name="Normal 8 4" xfId="391"/>
    <cellStyle name="Normal 8 5" xfId="275"/>
    <cellStyle name="Normal 80" xfId="190"/>
    <cellStyle name="Normal 81" xfId="293"/>
    <cellStyle name="Normal 82" xfId="721"/>
    <cellStyle name="Normal 83" xfId="722"/>
    <cellStyle name="Normal 84" xfId="720"/>
    <cellStyle name="Normal 85" xfId="719"/>
    <cellStyle name="Normal 86" xfId="718"/>
    <cellStyle name="Normal 87" xfId="723"/>
    <cellStyle name="Normal 88" xfId="1185"/>
    <cellStyle name="Normal 89" xfId="1186"/>
    <cellStyle name="Normal 9" xfId="16"/>
    <cellStyle name="Normal 9 2" xfId="501"/>
    <cellStyle name="Normal 9 2 2" xfId="1030"/>
    <cellStyle name="Normal 9 3" xfId="309"/>
    <cellStyle name="Normal 9 4" xfId="193"/>
    <cellStyle name="Normal 90" xfId="1184"/>
    <cellStyle name="Normal 91" xfId="902"/>
    <cellStyle name="Normal 92" xfId="1183"/>
    <cellStyle name="Normal 93" xfId="1181"/>
    <cellStyle name="Normal 94" xfId="878"/>
    <cellStyle name="Normal 95" xfId="1190"/>
    <cellStyle name="Normal 96" xfId="1182"/>
    <cellStyle name="Normal 97" xfId="1188"/>
    <cellStyle name="Normal 98" xfId="1187"/>
    <cellStyle name="Normal 99" xfId="1191"/>
    <cellStyle name="Normal_Plan1" xfId="1957"/>
    <cellStyle name="Normal1" xfId="140"/>
    <cellStyle name="Normal2" xfId="141"/>
    <cellStyle name="Normal3" xfId="142"/>
    <cellStyle name="Percent [2]" xfId="143"/>
    <cellStyle name="Percent [2] 2" xfId="502"/>
    <cellStyle name="Percent [2] 2 2" xfId="1031"/>
    <cellStyle name="Percent [2] 3" xfId="393"/>
    <cellStyle name="Percent [2] 4" xfId="277"/>
    <cellStyle name="Percent_Sheet1" xfId="144"/>
    <cellStyle name="Percentual" xfId="145"/>
    <cellStyle name="Ponto" xfId="146"/>
    <cellStyle name="Porcentagem" xfId="1956" builtinId="5"/>
    <cellStyle name="Porcentagem 2" xfId="17"/>
    <cellStyle name="Porcentagem 2 2" xfId="179"/>
    <cellStyle name="Porcentagem 2 2 2" xfId="919"/>
    <cellStyle name="Porcentagem 2 3" xfId="868"/>
    <cellStyle name="Porcentagem 3" xfId="18"/>
    <cellStyle name="Porcentagem 3 2" xfId="147"/>
    <cellStyle name="Porcentagem 3 3" xfId="503"/>
    <cellStyle name="Porcentagem 4" xfId="19"/>
    <cellStyle name="Porcentagem 4 2" xfId="20"/>
    <cellStyle name="Porcentagem 4 2 2" xfId="177"/>
    <cellStyle name="Porcentagem 4 2 2 2" xfId="917"/>
    <cellStyle name="Porcentagem 4 2 3" xfId="784"/>
    <cellStyle name="Porcentagem 5" xfId="148"/>
    <cellStyle name="Porcentagem 6" xfId="149"/>
    <cellStyle name="Porcentagem 6 2" xfId="150"/>
    <cellStyle name="Porcentagem 6 2 2" xfId="505"/>
    <cellStyle name="Porcentagem 6 2 2 2" xfId="655"/>
    <cellStyle name="Porcentagem 6 2 2 2 2" xfId="1121"/>
    <cellStyle name="Porcentagem 6 2 2 2 2 2" xfId="1734"/>
    <cellStyle name="Porcentagem 6 2 2 2 3" xfId="1733"/>
    <cellStyle name="Porcentagem 6 2 2 3" xfId="808"/>
    <cellStyle name="Porcentagem 6 2 2 3 2" xfId="1735"/>
    <cellStyle name="Porcentagem 6 2 2 4" xfId="1732"/>
    <cellStyle name="Porcentagem 6 2 3" xfId="557"/>
    <cellStyle name="Porcentagem 6 2 3 2" xfId="698"/>
    <cellStyle name="Porcentagem 6 2 3 2 2" xfId="1163"/>
    <cellStyle name="Porcentagem 6 2 3 2 2 2" xfId="1738"/>
    <cellStyle name="Porcentagem 6 2 3 2 3" xfId="1737"/>
    <cellStyle name="Porcentagem 6 2 3 3" xfId="851"/>
    <cellStyle name="Porcentagem 6 2 3 3 2" xfId="1739"/>
    <cellStyle name="Porcentagem 6 2 3 4" xfId="1736"/>
    <cellStyle name="Porcentagem 6 2 4" xfId="395"/>
    <cellStyle name="Porcentagem 6 2 4 2" xfId="961"/>
    <cellStyle name="Porcentagem 6 2 4 2 2" xfId="1741"/>
    <cellStyle name="Porcentagem 6 2 4 3" xfId="1740"/>
    <cellStyle name="Porcentagem 6 2 5" xfId="608"/>
    <cellStyle name="Porcentagem 6 2 5 2" xfId="1074"/>
    <cellStyle name="Porcentagem 6 2 5 2 2" xfId="1743"/>
    <cellStyle name="Porcentagem 6 2 5 3" xfId="1742"/>
    <cellStyle name="Porcentagem 6 2 6" xfId="279"/>
    <cellStyle name="Porcentagem 6 2 6 2" xfId="904"/>
    <cellStyle name="Porcentagem 6 2 6 2 2" xfId="1745"/>
    <cellStyle name="Porcentagem 6 2 6 3" xfId="1744"/>
    <cellStyle name="Porcentagem 6 2 7" xfId="757"/>
    <cellStyle name="Porcentagem 6 2 7 2" xfId="1746"/>
    <cellStyle name="Porcentagem 6 2 8" xfId="1224"/>
    <cellStyle name="Porcentagem 6 3" xfId="504"/>
    <cellStyle name="Porcentagem 6 3 2" xfId="654"/>
    <cellStyle name="Porcentagem 6 3 2 2" xfId="1120"/>
    <cellStyle name="Porcentagem 6 3 2 2 2" xfId="1749"/>
    <cellStyle name="Porcentagem 6 3 2 3" xfId="1748"/>
    <cellStyle name="Porcentagem 6 3 3" xfId="807"/>
    <cellStyle name="Porcentagem 6 3 3 2" xfId="1750"/>
    <cellStyle name="Porcentagem 6 3 4" xfId="1747"/>
    <cellStyle name="Porcentagem 6 4" xfId="556"/>
    <cellStyle name="Porcentagem 6 4 2" xfId="697"/>
    <cellStyle name="Porcentagem 6 4 2 2" xfId="1162"/>
    <cellStyle name="Porcentagem 6 4 2 2 2" xfId="1753"/>
    <cellStyle name="Porcentagem 6 4 2 3" xfId="1752"/>
    <cellStyle name="Porcentagem 6 4 3" xfId="850"/>
    <cellStyle name="Porcentagem 6 4 3 2" xfId="1754"/>
    <cellStyle name="Porcentagem 6 4 4" xfId="1751"/>
    <cellStyle name="Porcentagem 6 5" xfId="394"/>
    <cellStyle name="Porcentagem 6 5 2" xfId="960"/>
    <cellStyle name="Porcentagem 6 5 2 2" xfId="1756"/>
    <cellStyle name="Porcentagem 6 5 3" xfId="1755"/>
    <cellStyle name="Porcentagem 6 6" xfId="607"/>
    <cellStyle name="Porcentagem 6 6 2" xfId="1073"/>
    <cellStyle name="Porcentagem 6 6 2 2" xfId="1758"/>
    <cellStyle name="Porcentagem 6 6 3" xfId="1757"/>
    <cellStyle name="Porcentagem 6 7" xfId="278"/>
    <cellStyle name="Porcentagem 6 7 2" xfId="903"/>
    <cellStyle name="Porcentagem 6 7 2 2" xfId="1760"/>
    <cellStyle name="Porcentagem 6 7 3" xfId="1759"/>
    <cellStyle name="Porcentagem 6 8" xfId="756"/>
    <cellStyle name="Porcentagem 6 8 2" xfId="1761"/>
    <cellStyle name="Porcentagem 6 9" xfId="1223"/>
    <cellStyle name="Porcentagem 7" xfId="185"/>
    <cellStyle name="Porcentagem 7 2" xfId="925"/>
    <cellStyle name="Result" xfId="21"/>
    <cellStyle name="Result2" xfId="22"/>
    <cellStyle name="Sep. milhar [0]" xfId="151"/>
    <cellStyle name="Separador de m" xfId="152"/>
    <cellStyle name="Separador de milhares" xfId="25" builtinId="3"/>
    <cellStyle name="Separador de milhares 2" xfId="23"/>
    <cellStyle name="Separador de milhares 2 2" xfId="153"/>
    <cellStyle name="Separador de milhares 2 2 2" xfId="507"/>
    <cellStyle name="Separador de milhares 2 2 2 2" xfId="1033"/>
    <cellStyle name="Separador de milhares 2 2 3" xfId="396"/>
    <cellStyle name="Separador de milhares 2 2 4" xfId="280"/>
    <cellStyle name="Separador de milhares 2 3" xfId="506"/>
    <cellStyle name="Separador de milhares 2 3 2" xfId="1032"/>
    <cellStyle name="Separador de milhares 2 4" xfId="310"/>
    <cellStyle name="Separador de milhares 2 5" xfId="194"/>
    <cellStyle name="Separador de milhares 3" xfId="154"/>
    <cellStyle name="Separador de milhares 4" xfId="24"/>
    <cellStyle name="Sepavador de milhares [0]_Pasta2" xfId="155"/>
    <cellStyle name="Standard_RP100_01 (metr.)" xfId="156"/>
    <cellStyle name="Titulo1" xfId="157"/>
    <cellStyle name="Titulo2" xfId="158"/>
    <cellStyle name="Vírgula 10" xfId="159"/>
    <cellStyle name="Vírgula 10 2" xfId="160"/>
    <cellStyle name="Vírgula 10 2 2" xfId="509"/>
    <cellStyle name="Vírgula 10 2 2 2" xfId="658"/>
    <cellStyle name="Vírgula 10 2 2 2 2" xfId="1123"/>
    <cellStyle name="Vírgula 10 2 2 2 2 2" xfId="1764"/>
    <cellStyle name="Vírgula 10 2 2 2 3" xfId="1763"/>
    <cellStyle name="Vírgula 10 2 2 3" xfId="810"/>
    <cellStyle name="Vírgula 10 2 2 3 2" xfId="1765"/>
    <cellStyle name="Vírgula 10 2 2 4" xfId="1762"/>
    <cellStyle name="Vírgula 10 2 3" xfId="559"/>
    <cellStyle name="Vírgula 10 2 3 2" xfId="700"/>
    <cellStyle name="Vírgula 10 2 3 2 2" xfId="1165"/>
    <cellStyle name="Vírgula 10 2 3 2 2 2" xfId="1768"/>
    <cellStyle name="Vírgula 10 2 3 2 3" xfId="1767"/>
    <cellStyle name="Vírgula 10 2 3 3" xfId="853"/>
    <cellStyle name="Vírgula 10 2 3 3 2" xfId="1769"/>
    <cellStyle name="Vírgula 10 2 3 4" xfId="1766"/>
    <cellStyle name="Vírgula 10 2 4" xfId="398"/>
    <cellStyle name="Vírgula 10 2 4 2" xfId="963"/>
    <cellStyle name="Vírgula 10 2 4 2 2" xfId="1771"/>
    <cellStyle name="Vírgula 10 2 4 3" xfId="1770"/>
    <cellStyle name="Vírgula 10 2 5" xfId="610"/>
    <cellStyle name="Vírgula 10 2 5 2" xfId="1076"/>
    <cellStyle name="Vírgula 10 2 5 2 2" xfId="1773"/>
    <cellStyle name="Vírgula 10 2 5 3" xfId="1772"/>
    <cellStyle name="Vírgula 10 2 6" xfId="282"/>
    <cellStyle name="Vírgula 10 2 6 2" xfId="906"/>
    <cellStyle name="Vírgula 10 2 6 2 2" xfId="1775"/>
    <cellStyle name="Vírgula 10 2 6 3" xfId="1774"/>
    <cellStyle name="Vírgula 10 2 7" xfId="760"/>
    <cellStyle name="Vírgula 10 2 7 2" xfId="1776"/>
    <cellStyle name="Vírgula 10 2 8" xfId="1226"/>
    <cellStyle name="Vírgula 10 3" xfId="508"/>
    <cellStyle name="Vírgula 10 3 2" xfId="657"/>
    <cellStyle name="Vírgula 10 3 2 2" xfId="1122"/>
    <cellStyle name="Vírgula 10 3 2 2 2" xfId="1779"/>
    <cellStyle name="Vírgula 10 3 2 3" xfId="1778"/>
    <cellStyle name="Vírgula 10 3 3" xfId="809"/>
    <cellStyle name="Vírgula 10 3 3 2" xfId="1780"/>
    <cellStyle name="Vírgula 10 3 4" xfId="1777"/>
    <cellStyle name="Vírgula 10 4" xfId="558"/>
    <cellStyle name="Vírgula 10 4 2" xfId="699"/>
    <cellStyle name="Vírgula 10 4 2 2" xfId="1164"/>
    <cellStyle name="Vírgula 10 4 2 2 2" xfId="1783"/>
    <cellStyle name="Vírgula 10 4 2 3" xfId="1782"/>
    <cellStyle name="Vírgula 10 4 3" xfId="852"/>
    <cellStyle name="Vírgula 10 4 3 2" xfId="1784"/>
    <cellStyle name="Vírgula 10 4 4" xfId="1781"/>
    <cellStyle name="Vírgula 10 5" xfId="397"/>
    <cellStyle name="Vírgula 10 5 2" xfId="962"/>
    <cellStyle name="Vírgula 10 5 2 2" xfId="1786"/>
    <cellStyle name="Vírgula 10 5 3" xfId="1785"/>
    <cellStyle name="Vírgula 10 6" xfId="609"/>
    <cellStyle name="Vírgula 10 6 2" xfId="1075"/>
    <cellStyle name="Vírgula 10 6 2 2" xfId="1788"/>
    <cellStyle name="Vírgula 10 6 3" xfId="1787"/>
    <cellStyle name="Vírgula 10 7" xfId="281"/>
    <cellStyle name="Vírgula 10 7 2" xfId="905"/>
    <cellStyle name="Vírgula 10 7 2 2" xfId="1790"/>
    <cellStyle name="Vírgula 10 7 3" xfId="1789"/>
    <cellStyle name="Vírgula 10 8" xfId="759"/>
    <cellStyle name="Vírgula 10 8 2" xfId="1791"/>
    <cellStyle name="Vírgula 10 9" xfId="1225"/>
    <cellStyle name="Vírgula 11" xfId="161"/>
    <cellStyle name="Vírgula 11 2" xfId="510"/>
    <cellStyle name="Vírgula 11 2 2" xfId="1034"/>
    <cellStyle name="Vírgula 11 3" xfId="399"/>
    <cellStyle name="Vírgula 11 4" xfId="283"/>
    <cellStyle name="Vírgula 12" xfId="162"/>
    <cellStyle name="Vírgula 12 2" xfId="511"/>
    <cellStyle name="Vírgula 12 2 2" xfId="659"/>
    <cellStyle name="Vírgula 12 2 2 2" xfId="1124"/>
    <cellStyle name="Vírgula 12 2 2 2 2" xfId="1794"/>
    <cellStyle name="Vírgula 12 2 2 3" xfId="1793"/>
    <cellStyle name="Vírgula 12 2 3" xfId="811"/>
    <cellStyle name="Vírgula 12 2 3 2" xfId="1795"/>
    <cellStyle name="Vírgula 12 2 4" xfId="1792"/>
    <cellStyle name="Vírgula 12 3" xfId="560"/>
    <cellStyle name="Vírgula 12 3 2" xfId="701"/>
    <cellStyle name="Vírgula 12 3 2 2" xfId="1166"/>
    <cellStyle name="Vírgula 12 3 2 2 2" xfId="1798"/>
    <cellStyle name="Vírgula 12 3 2 3" xfId="1797"/>
    <cellStyle name="Vírgula 12 3 3" xfId="854"/>
    <cellStyle name="Vírgula 12 3 3 2" xfId="1799"/>
    <cellStyle name="Vírgula 12 3 4" xfId="1796"/>
    <cellStyle name="Vírgula 12 4" xfId="400"/>
    <cellStyle name="Vírgula 12 4 2" xfId="964"/>
    <cellStyle name="Vírgula 12 4 2 2" xfId="1801"/>
    <cellStyle name="Vírgula 12 4 3" xfId="1800"/>
    <cellStyle name="Vírgula 12 5" xfId="611"/>
    <cellStyle name="Vírgula 12 5 2" xfId="1077"/>
    <cellStyle name="Vírgula 12 5 2 2" xfId="1803"/>
    <cellStyle name="Vírgula 12 5 3" xfId="1802"/>
    <cellStyle name="Vírgula 12 6" xfId="284"/>
    <cellStyle name="Vírgula 12 6 2" xfId="907"/>
    <cellStyle name="Vírgula 12 6 2 2" xfId="1805"/>
    <cellStyle name="Vírgula 12 6 3" xfId="1804"/>
    <cellStyle name="Vírgula 12 7" xfId="761"/>
    <cellStyle name="Vírgula 12 7 2" xfId="1806"/>
    <cellStyle name="Vírgula 12 8" xfId="1227"/>
    <cellStyle name="Vírgula 13" xfId="186"/>
    <cellStyle name="Vírgula 13 2" xfId="926"/>
    <cellStyle name="Vírgula 14" xfId="725"/>
    <cellStyle name="Vírgula 2" xfId="26"/>
    <cellStyle name="Vírgula 2 2" xfId="163"/>
    <cellStyle name="Vírgula 2 2 2" xfId="189"/>
    <cellStyle name="Vírgula 2 2 2 2" xfId="929"/>
    <cellStyle name="Vírgula 2 2 3" xfId="908"/>
    <cellStyle name="Vírgula 2 3" xfId="178"/>
    <cellStyle name="Vírgula 2 3 2" xfId="918"/>
    <cellStyle name="Vírgula 2 4" xfId="302"/>
    <cellStyle name="Vírgula 2 5" xfId="788"/>
    <cellStyle name="Vírgula 3" xfId="27"/>
    <cellStyle name="Vírgula 3 2" xfId="28"/>
    <cellStyle name="Vírgula 3 2 2" xfId="513"/>
    <cellStyle name="Vírgula 3 2 2 2" xfId="1036"/>
    <cellStyle name="Vírgula 3 2 3" xfId="312"/>
    <cellStyle name="Vírgula 3 2 4" xfId="196"/>
    <cellStyle name="Vírgula 3 3" xfId="512"/>
    <cellStyle name="Vírgula 3 3 2" xfId="1035"/>
    <cellStyle name="Vírgula 3 4" xfId="311"/>
    <cellStyle name="Vírgula 3 5" xfId="195"/>
    <cellStyle name="Vírgula 4" xfId="29"/>
    <cellStyle name="Vírgula 5" xfId="30"/>
    <cellStyle name="Vírgula 5 2" xfId="31"/>
    <cellStyle name="Vírgula 5 2 2" xfId="176"/>
    <cellStyle name="Vírgula 5 2 2 2" xfId="916"/>
    <cellStyle name="Vírgula 5 2 3" xfId="866"/>
    <cellStyle name="Vírgula 5 3" xfId="812"/>
    <cellStyle name="Vírgula 6" xfId="164"/>
    <cellStyle name="Vírgula 6 2" xfId="165"/>
    <cellStyle name="Vírgula 6 2 2" xfId="515"/>
    <cellStyle name="Vírgula 6 2 2 2" xfId="1038"/>
    <cellStyle name="Vírgula 6 2 3" xfId="402"/>
    <cellStyle name="Vírgula 6 2 4" xfId="286"/>
    <cellStyle name="Vírgula 6 3" xfId="174"/>
    <cellStyle name="Vírgula 6 3 2" xfId="516"/>
    <cellStyle name="Vírgula 6 3 2 2" xfId="1039"/>
    <cellStyle name="Vírgula 6 3 3" xfId="410"/>
    <cellStyle name="Vírgula 6 3 4" xfId="294"/>
    <cellStyle name="Vírgula 6 4" xfId="514"/>
    <cellStyle name="Vírgula 6 4 2" xfId="1037"/>
    <cellStyle name="Vírgula 6 5" xfId="401"/>
    <cellStyle name="Vírgula 6 6" xfId="285"/>
    <cellStyle name="Vírgula 7" xfId="166"/>
    <cellStyle name="Vírgula 7 10" xfId="762"/>
    <cellStyle name="Vírgula 7 10 2" xfId="1807"/>
    <cellStyle name="Vírgula 7 11" xfId="1228"/>
    <cellStyle name="Vírgula 7 2" xfId="167"/>
    <cellStyle name="Vírgula 7 2 2" xfId="518"/>
    <cellStyle name="Vírgula 7 2 2 2" xfId="661"/>
    <cellStyle name="Vírgula 7 2 2 2 2" xfId="1126"/>
    <cellStyle name="Vírgula 7 2 2 2 2 2" xfId="1810"/>
    <cellStyle name="Vírgula 7 2 2 2 3" xfId="1809"/>
    <cellStyle name="Vírgula 7 2 2 3" xfId="814"/>
    <cellStyle name="Vírgula 7 2 2 3 2" xfId="1811"/>
    <cellStyle name="Vírgula 7 2 2 4" xfId="1808"/>
    <cellStyle name="Vírgula 7 2 3" xfId="562"/>
    <cellStyle name="Vírgula 7 2 3 2" xfId="703"/>
    <cellStyle name="Vírgula 7 2 3 2 2" xfId="1168"/>
    <cellStyle name="Vírgula 7 2 3 2 2 2" xfId="1814"/>
    <cellStyle name="Vírgula 7 2 3 2 3" xfId="1813"/>
    <cellStyle name="Vírgula 7 2 3 3" xfId="856"/>
    <cellStyle name="Vírgula 7 2 3 3 2" xfId="1815"/>
    <cellStyle name="Vírgula 7 2 3 4" xfId="1812"/>
    <cellStyle name="Vírgula 7 2 4" xfId="404"/>
    <cellStyle name="Vírgula 7 2 4 2" xfId="966"/>
    <cellStyle name="Vírgula 7 2 4 2 2" xfId="1817"/>
    <cellStyle name="Vírgula 7 2 4 3" xfId="1816"/>
    <cellStyle name="Vírgula 7 2 5" xfId="613"/>
    <cellStyle name="Vírgula 7 2 5 2" xfId="1079"/>
    <cellStyle name="Vírgula 7 2 5 2 2" xfId="1819"/>
    <cellStyle name="Vírgula 7 2 5 3" xfId="1818"/>
    <cellStyle name="Vírgula 7 2 6" xfId="288"/>
    <cellStyle name="Vírgula 7 2 6 2" xfId="910"/>
    <cellStyle name="Vírgula 7 2 6 2 2" xfId="1821"/>
    <cellStyle name="Vírgula 7 2 6 3" xfId="1820"/>
    <cellStyle name="Vírgula 7 2 7" xfId="763"/>
    <cellStyle name="Vírgula 7 2 7 2" xfId="1822"/>
    <cellStyle name="Vírgula 7 2 8" xfId="1229"/>
    <cellStyle name="Vírgula 7 3" xfId="168"/>
    <cellStyle name="Vírgula 7 3 2" xfId="519"/>
    <cellStyle name="Vírgula 7 3 2 2" xfId="662"/>
    <cellStyle name="Vírgula 7 3 2 2 2" xfId="1127"/>
    <cellStyle name="Vírgula 7 3 2 2 2 2" xfId="1825"/>
    <cellStyle name="Vírgula 7 3 2 2 3" xfId="1824"/>
    <cellStyle name="Vírgula 7 3 2 3" xfId="815"/>
    <cellStyle name="Vírgula 7 3 2 3 2" xfId="1826"/>
    <cellStyle name="Vírgula 7 3 2 4" xfId="1823"/>
    <cellStyle name="Vírgula 7 3 3" xfId="563"/>
    <cellStyle name="Vírgula 7 3 3 2" xfId="704"/>
    <cellStyle name="Vírgula 7 3 3 2 2" xfId="1169"/>
    <cellStyle name="Vírgula 7 3 3 2 2 2" xfId="1829"/>
    <cellStyle name="Vírgula 7 3 3 2 3" xfId="1828"/>
    <cellStyle name="Vírgula 7 3 3 3" xfId="857"/>
    <cellStyle name="Vírgula 7 3 3 3 2" xfId="1830"/>
    <cellStyle name="Vírgula 7 3 3 4" xfId="1827"/>
    <cellStyle name="Vírgula 7 3 4" xfId="405"/>
    <cellStyle name="Vírgula 7 3 4 2" xfId="967"/>
    <cellStyle name="Vírgula 7 3 4 2 2" xfId="1832"/>
    <cellStyle name="Vírgula 7 3 4 3" xfId="1831"/>
    <cellStyle name="Vírgula 7 3 5" xfId="614"/>
    <cellStyle name="Vírgula 7 3 5 2" xfId="1080"/>
    <cellStyle name="Vírgula 7 3 5 2 2" xfId="1834"/>
    <cellStyle name="Vírgula 7 3 5 3" xfId="1833"/>
    <cellStyle name="Vírgula 7 3 6" xfId="289"/>
    <cellStyle name="Vírgula 7 3 6 2" xfId="911"/>
    <cellStyle name="Vírgula 7 3 6 2 2" xfId="1836"/>
    <cellStyle name="Vírgula 7 3 6 3" xfId="1835"/>
    <cellStyle name="Vírgula 7 3 7" xfId="764"/>
    <cellStyle name="Vírgula 7 3 7 2" xfId="1837"/>
    <cellStyle name="Vírgula 7 3 8" xfId="1230"/>
    <cellStyle name="Vírgula 7 4" xfId="181"/>
    <cellStyle name="Vírgula 7 4 2" xfId="303"/>
    <cellStyle name="Vírgula 7 4 2 2" xfId="570"/>
    <cellStyle name="Vírgula 7 4 2 2 2" xfId="711"/>
    <cellStyle name="Vírgula 7 4 2 2 2 2" xfId="1176"/>
    <cellStyle name="Vírgula 7 4 2 2 2 2 2" xfId="1841"/>
    <cellStyle name="Vírgula 7 4 2 2 2 3" xfId="1840"/>
    <cellStyle name="Vírgula 7 4 2 2 3" xfId="717"/>
    <cellStyle name="Vírgula 7 4 2 2 3 2" xfId="1180"/>
    <cellStyle name="Vírgula 7 4 2 2 3 2 2" xfId="1843"/>
    <cellStyle name="Vírgula 7 4 2 2 3 3" xfId="1842"/>
    <cellStyle name="Vírgula 7 4 2 2 4" xfId="864"/>
    <cellStyle name="Vírgula 7 4 2 2 4 2" xfId="1844"/>
    <cellStyle name="Vírgula 7 4 2 2 5" xfId="1839"/>
    <cellStyle name="Vírgula 7 4 2 3" xfId="414"/>
    <cellStyle name="Vírgula 7 4 2 3 2" xfId="974"/>
    <cellStyle name="Vírgula 7 4 2 3 2 2" xfId="1846"/>
    <cellStyle name="Vírgula 7 4 2 3 3" xfId="1845"/>
    <cellStyle name="Vírgula 7 4 2 4" xfId="621"/>
    <cellStyle name="Vírgula 7 4 2 4 2" xfId="1087"/>
    <cellStyle name="Vírgula 7 4 2 4 2 2" xfId="1848"/>
    <cellStyle name="Vírgula 7 4 2 4 3" xfId="1847"/>
    <cellStyle name="Vírgula 7 4 2 5" xfId="772"/>
    <cellStyle name="Vírgula 7 4 2 5 2" xfId="1849"/>
    <cellStyle name="Vírgula 7 4 2 6" xfId="1838"/>
    <cellStyle name="Vírgula 7 4 3" xfId="564"/>
    <cellStyle name="Vírgula 7 4 3 2" xfId="705"/>
    <cellStyle name="Vírgula 7 4 3 2 2" xfId="1170"/>
    <cellStyle name="Vírgula 7 4 3 2 2 2" xfId="1852"/>
    <cellStyle name="Vírgula 7 4 3 2 3" xfId="1851"/>
    <cellStyle name="Vírgula 7 4 3 3" xfId="858"/>
    <cellStyle name="Vírgula 7 4 3 3 2" xfId="1853"/>
    <cellStyle name="Vírgula 7 4 3 4" xfId="1850"/>
    <cellStyle name="Vírgula 7 4 4" xfId="412"/>
    <cellStyle name="Vírgula 7 4 4 2" xfId="972"/>
    <cellStyle name="Vírgula 7 4 4 2 2" xfId="1855"/>
    <cellStyle name="Vírgula 7 4 4 3" xfId="1854"/>
    <cellStyle name="Vírgula 7 4 5" xfId="619"/>
    <cellStyle name="Vírgula 7 4 5 2" xfId="1085"/>
    <cellStyle name="Vírgula 7 4 5 2 2" xfId="1857"/>
    <cellStyle name="Vírgula 7 4 5 3" xfId="1856"/>
    <cellStyle name="Vírgula 7 4 6" xfId="296"/>
    <cellStyle name="Vírgula 7 4 6 2" xfId="921"/>
    <cellStyle name="Vírgula 7 4 6 2 2" xfId="1859"/>
    <cellStyle name="Vírgula 7 4 6 3" xfId="1858"/>
    <cellStyle name="Vírgula 7 4 7" xfId="770"/>
    <cellStyle name="Vírgula 7 4 7 2" xfId="1860"/>
    <cellStyle name="Vírgula 7 4 8" xfId="1235"/>
    <cellStyle name="Vírgula 7 5" xfId="304"/>
    <cellStyle name="Vírgula 7 5 2" xfId="569"/>
    <cellStyle name="Vírgula 7 5 2 2" xfId="710"/>
    <cellStyle name="Vírgula 7 5 2 2 2" xfId="1175"/>
    <cellStyle name="Vírgula 7 5 2 2 2 2" xfId="1864"/>
    <cellStyle name="Vírgula 7 5 2 2 3" xfId="1863"/>
    <cellStyle name="Vírgula 7 5 2 3" xfId="863"/>
    <cellStyle name="Vírgula 7 5 2 3 2" xfId="1865"/>
    <cellStyle name="Vírgula 7 5 2 4" xfId="1862"/>
    <cellStyle name="Vírgula 7 5 3" xfId="517"/>
    <cellStyle name="Vírgula 7 5 3 2" xfId="1040"/>
    <cellStyle name="Vírgula 7 5 3 2 2" xfId="1867"/>
    <cellStyle name="Vírgula 7 5 3 3" xfId="1866"/>
    <cellStyle name="Vírgula 7 5 4" xfId="660"/>
    <cellStyle name="Vírgula 7 5 4 2" xfId="1125"/>
    <cellStyle name="Vírgula 7 5 4 2 2" xfId="1869"/>
    <cellStyle name="Vírgula 7 5 4 3" xfId="1868"/>
    <cellStyle name="Vírgula 7 5 5" xfId="813"/>
    <cellStyle name="Vírgula 7 5 5 2" xfId="1870"/>
    <cellStyle name="Vírgula 7 5 6" xfId="1861"/>
    <cellStyle name="Vírgula 7 6" xfId="561"/>
    <cellStyle name="Vírgula 7 6 2" xfId="702"/>
    <cellStyle name="Vírgula 7 6 2 2" xfId="1167"/>
    <cellStyle name="Vírgula 7 6 2 2 2" xfId="1873"/>
    <cellStyle name="Vírgula 7 6 2 3" xfId="1872"/>
    <cellStyle name="Vírgula 7 6 3" xfId="855"/>
    <cellStyle name="Vírgula 7 6 3 2" xfId="1874"/>
    <cellStyle name="Vírgula 7 6 4" xfId="1871"/>
    <cellStyle name="Vírgula 7 7" xfId="403"/>
    <cellStyle name="Vírgula 7 7 2" xfId="965"/>
    <cellStyle name="Vírgula 7 7 2 2" xfId="1876"/>
    <cellStyle name="Vírgula 7 7 3" xfId="1875"/>
    <cellStyle name="Vírgula 7 8" xfId="612"/>
    <cellStyle name="Vírgula 7 8 2" xfId="1078"/>
    <cellStyle name="Vírgula 7 8 2 2" xfId="1878"/>
    <cellStyle name="Vírgula 7 8 3" xfId="1877"/>
    <cellStyle name="Vírgula 7 9" xfId="287"/>
    <cellStyle name="Vírgula 7 9 2" xfId="909"/>
    <cellStyle name="Vírgula 7 9 2 2" xfId="1880"/>
    <cellStyle name="Vírgula 7 9 3" xfId="1879"/>
    <cellStyle name="Vírgula 8" xfId="169"/>
    <cellStyle name="Vírgula 8 10" xfId="1231"/>
    <cellStyle name="Vírgula 8 2" xfId="170"/>
    <cellStyle name="Vírgula 8 2 2" xfId="521"/>
    <cellStyle name="Vírgula 8 2 2 2" xfId="664"/>
    <cellStyle name="Vírgula 8 2 2 2 2" xfId="1129"/>
    <cellStyle name="Vírgula 8 2 2 2 2 2" xfId="1883"/>
    <cellStyle name="Vírgula 8 2 2 2 3" xfId="1882"/>
    <cellStyle name="Vírgula 8 2 2 3" xfId="817"/>
    <cellStyle name="Vírgula 8 2 2 3 2" xfId="1884"/>
    <cellStyle name="Vírgula 8 2 2 4" xfId="1881"/>
    <cellStyle name="Vírgula 8 2 3" xfId="566"/>
    <cellStyle name="Vírgula 8 2 3 2" xfId="707"/>
    <cellStyle name="Vírgula 8 2 3 2 2" xfId="1172"/>
    <cellStyle name="Vírgula 8 2 3 2 2 2" xfId="1887"/>
    <cellStyle name="Vírgula 8 2 3 2 3" xfId="1886"/>
    <cellStyle name="Vírgula 8 2 3 3" xfId="860"/>
    <cellStyle name="Vírgula 8 2 3 3 2" xfId="1888"/>
    <cellStyle name="Vírgula 8 2 3 4" xfId="1885"/>
    <cellStyle name="Vírgula 8 2 4" xfId="407"/>
    <cellStyle name="Vírgula 8 2 4 2" xfId="969"/>
    <cellStyle name="Vírgula 8 2 4 2 2" xfId="1890"/>
    <cellStyle name="Vírgula 8 2 4 3" xfId="1889"/>
    <cellStyle name="Vírgula 8 2 5" xfId="616"/>
    <cellStyle name="Vírgula 8 2 5 2" xfId="1082"/>
    <cellStyle name="Vírgula 8 2 5 2 2" xfId="1892"/>
    <cellStyle name="Vírgula 8 2 5 3" xfId="1891"/>
    <cellStyle name="Vírgula 8 2 6" xfId="291"/>
    <cellStyle name="Vírgula 8 2 6 2" xfId="913"/>
    <cellStyle name="Vírgula 8 2 6 2 2" xfId="1894"/>
    <cellStyle name="Vírgula 8 2 6 3" xfId="1893"/>
    <cellStyle name="Vírgula 8 2 7" xfId="766"/>
    <cellStyle name="Vírgula 8 2 7 2" xfId="1895"/>
    <cellStyle name="Vírgula 8 2 8" xfId="1232"/>
    <cellStyle name="Vírgula 8 3" xfId="171"/>
    <cellStyle name="Vírgula 8 3 2" xfId="522"/>
    <cellStyle name="Vírgula 8 3 2 2" xfId="665"/>
    <cellStyle name="Vírgula 8 3 2 2 2" xfId="1130"/>
    <cellStyle name="Vírgula 8 3 2 2 2 2" xfId="1898"/>
    <cellStyle name="Vírgula 8 3 2 2 3" xfId="1897"/>
    <cellStyle name="Vírgula 8 3 2 3" xfId="818"/>
    <cellStyle name="Vírgula 8 3 2 3 2" xfId="1899"/>
    <cellStyle name="Vírgula 8 3 2 4" xfId="1896"/>
    <cellStyle name="Vírgula 8 3 3" xfId="567"/>
    <cellStyle name="Vírgula 8 3 3 2" xfId="708"/>
    <cellStyle name="Vírgula 8 3 3 2 2" xfId="1173"/>
    <cellStyle name="Vírgula 8 3 3 2 2 2" xfId="1902"/>
    <cellStyle name="Vírgula 8 3 3 2 3" xfId="1901"/>
    <cellStyle name="Vírgula 8 3 3 3" xfId="861"/>
    <cellStyle name="Vírgula 8 3 3 3 2" xfId="1903"/>
    <cellStyle name="Vírgula 8 3 3 4" xfId="1900"/>
    <cellStyle name="Vírgula 8 3 4" xfId="408"/>
    <cellStyle name="Vírgula 8 3 4 2" xfId="970"/>
    <cellStyle name="Vírgula 8 3 4 2 2" xfId="1905"/>
    <cellStyle name="Vírgula 8 3 4 3" xfId="1904"/>
    <cellStyle name="Vírgula 8 3 5" xfId="617"/>
    <cellStyle name="Vírgula 8 3 5 2" xfId="1083"/>
    <cellStyle name="Vírgula 8 3 5 2 2" xfId="1907"/>
    <cellStyle name="Vírgula 8 3 5 3" xfId="1906"/>
    <cellStyle name="Vírgula 8 3 6" xfId="292"/>
    <cellStyle name="Vírgula 8 3 6 2" xfId="914"/>
    <cellStyle name="Vírgula 8 3 6 2 2" xfId="1909"/>
    <cellStyle name="Vírgula 8 3 6 3" xfId="1908"/>
    <cellStyle name="Vírgula 8 3 7" xfId="767"/>
    <cellStyle name="Vírgula 8 3 7 2" xfId="1910"/>
    <cellStyle name="Vírgula 8 3 8" xfId="1233"/>
    <cellStyle name="Vírgula 8 4" xfId="520"/>
    <cellStyle name="Vírgula 8 4 2" xfId="663"/>
    <cellStyle name="Vírgula 8 4 2 2" xfId="1128"/>
    <cellStyle name="Vírgula 8 4 2 2 2" xfId="1913"/>
    <cellStyle name="Vírgula 8 4 2 3" xfId="1912"/>
    <cellStyle name="Vírgula 8 4 3" xfId="816"/>
    <cellStyle name="Vírgula 8 4 3 2" xfId="1914"/>
    <cellStyle name="Vírgula 8 4 4" xfId="1911"/>
    <cellStyle name="Vírgula 8 5" xfId="565"/>
    <cellStyle name="Vírgula 8 5 2" xfId="706"/>
    <cellStyle name="Vírgula 8 5 2 2" xfId="1171"/>
    <cellStyle name="Vírgula 8 5 2 2 2" xfId="1917"/>
    <cellStyle name="Vírgula 8 5 2 3" xfId="1916"/>
    <cellStyle name="Vírgula 8 5 3" xfId="859"/>
    <cellStyle name="Vírgula 8 5 3 2" xfId="1918"/>
    <cellStyle name="Vírgula 8 5 4" xfId="1915"/>
    <cellStyle name="Vírgula 8 6" xfId="406"/>
    <cellStyle name="Vírgula 8 6 2" xfId="968"/>
    <cellStyle name="Vírgula 8 6 2 2" xfId="1920"/>
    <cellStyle name="Vírgula 8 6 3" xfId="1919"/>
    <cellStyle name="Vírgula 8 7" xfId="615"/>
    <cellStyle name="Vírgula 8 7 2" xfId="1081"/>
    <cellStyle name="Vírgula 8 7 2 2" xfId="1922"/>
    <cellStyle name="Vírgula 8 7 3" xfId="1921"/>
    <cellStyle name="Vírgula 8 8" xfId="290"/>
    <cellStyle name="Vírgula 8 8 2" xfId="912"/>
    <cellStyle name="Vírgula 8 8 2 2" xfId="1924"/>
    <cellStyle name="Vírgula 8 8 3" xfId="1923"/>
    <cellStyle name="Vírgula 8 9" xfId="765"/>
    <cellStyle name="Vírgula 8 9 2" xfId="1925"/>
    <cellStyle name="Vírgula 9" xfId="172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28576</xdr:rowOff>
    </xdr:from>
    <xdr:to>
      <xdr:col>9</xdr:col>
      <xdr:colOff>749300</xdr:colOff>
      <xdr:row>7</xdr:row>
      <xdr:rowOff>29748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74035" y="28576"/>
          <a:ext cx="1987551" cy="1348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74520</xdr:colOff>
      <xdr:row>0</xdr:row>
      <xdr:rowOff>132791</xdr:rowOff>
    </xdr:from>
    <xdr:to>
      <xdr:col>8</xdr:col>
      <xdr:colOff>1056714</xdr:colOff>
      <xdr:row>7</xdr:row>
      <xdr:rowOff>67477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56570" y="132791"/>
          <a:ext cx="1877545" cy="1315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554935</xdr:colOff>
      <xdr:row>0</xdr:row>
      <xdr:rowOff>0</xdr:rowOff>
    </xdr:from>
    <xdr:to>
      <xdr:col>3</xdr:col>
      <xdr:colOff>112229</xdr:colOff>
      <xdr:row>7</xdr:row>
      <xdr:rowOff>220436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4535" y="0"/>
          <a:ext cx="1881394" cy="1353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151280</xdr:colOff>
      <xdr:row>0</xdr:row>
      <xdr:rowOff>25213</xdr:rowOff>
    </xdr:from>
    <xdr:to>
      <xdr:col>7</xdr:col>
      <xdr:colOff>904315</xdr:colOff>
      <xdr:row>4</xdr:row>
      <xdr:rowOff>268941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6D36B7B0-7249-48CE-B633-370B6C5D1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1839" y="25213"/>
          <a:ext cx="1515035" cy="1072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106242</xdr:colOff>
      <xdr:row>65</xdr:row>
      <xdr:rowOff>203690</xdr:rowOff>
    </xdr:from>
    <xdr:to>
      <xdr:col>4</xdr:col>
      <xdr:colOff>973017</xdr:colOff>
      <xdr:row>65</xdr:row>
      <xdr:rowOff>279890</xdr:rowOff>
    </xdr:to>
    <xdr:sp macro="" textlink="">
      <xdr:nvSpPr>
        <xdr:cNvPr id="14" name="Retângulo de cantos arredondados 33">
          <a:extLst>
            <a:ext uri="{FF2B5EF4-FFF2-40B4-BE49-F238E27FC236}">
              <a16:creationId xmlns:a16="http://schemas.microsoft.com/office/drawing/2014/main" xmlns="" id="{A8461BA7-024D-4885-8A08-1E90E01DE907}"/>
            </a:ext>
          </a:extLst>
        </xdr:cNvPr>
        <xdr:cNvSpPr/>
      </xdr:nvSpPr>
      <xdr:spPr>
        <a:xfrm>
          <a:off x="7688142" y="1832024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67</xdr:row>
      <xdr:rowOff>216878</xdr:rowOff>
    </xdr:from>
    <xdr:to>
      <xdr:col>4</xdr:col>
      <xdr:colOff>964225</xdr:colOff>
      <xdr:row>67</xdr:row>
      <xdr:rowOff>293078</xdr:rowOff>
    </xdr:to>
    <xdr:sp macro="" textlink="">
      <xdr:nvSpPr>
        <xdr:cNvPr id="15" name="Retângulo de cantos arredondados 34">
          <a:extLst>
            <a:ext uri="{FF2B5EF4-FFF2-40B4-BE49-F238E27FC236}">
              <a16:creationId xmlns:a16="http://schemas.microsoft.com/office/drawing/2014/main" xmlns="" id="{BF7EE778-94A2-4AA8-91D1-B085BC3855EB}"/>
            </a:ext>
          </a:extLst>
        </xdr:cNvPr>
        <xdr:cNvSpPr/>
      </xdr:nvSpPr>
      <xdr:spPr>
        <a:xfrm>
          <a:off x="7679350" y="1896207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69</xdr:row>
      <xdr:rowOff>200759</xdr:rowOff>
    </xdr:from>
    <xdr:to>
      <xdr:col>4</xdr:col>
      <xdr:colOff>970087</xdr:colOff>
      <xdr:row>69</xdr:row>
      <xdr:rowOff>276959</xdr:rowOff>
    </xdr:to>
    <xdr:sp macro="" textlink="">
      <xdr:nvSpPr>
        <xdr:cNvPr id="16" name="Retângulo de cantos arredondados 35">
          <a:extLst>
            <a:ext uri="{FF2B5EF4-FFF2-40B4-BE49-F238E27FC236}">
              <a16:creationId xmlns:a16="http://schemas.microsoft.com/office/drawing/2014/main" xmlns="" id="{CBDD4578-36FF-40AE-A738-4A69D2FEEC7E}"/>
            </a:ext>
          </a:extLst>
        </xdr:cNvPr>
        <xdr:cNvSpPr/>
      </xdr:nvSpPr>
      <xdr:spPr>
        <a:xfrm>
          <a:off x="7685212" y="1957460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112107</xdr:colOff>
      <xdr:row>130</xdr:row>
      <xdr:rowOff>158263</xdr:rowOff>
    </xdr:from>
    <xdr:to>
      <xdr:col>5</xdr:col>
      <xdr:colOff>978882</xdr:colOff>
      <xdr:row>130</xdr:row>
      <xdr:rowOff>234463</xdr:rowOff>
    </xdr:to>
    <xdr:sp macro="" textlink="">
      <xdr:nvSpPr>
        <xdr:cNvPr id="17" name="Retângulo de cantos arredondados 36">
          <a:extLst>
            <a:ext uri="{FF2B5EF4-FFF2-40B4-BE49-F238E27FC236}">
              <a16:creationId xmlns:a16="http://schemas.microsoft.com/office/drawing/2014/main" xmlns="" id="{7D226A48-F19F-4B15-941E-7238653FA599}"/>
            </a:ext>
          </a:extLst>
        </xdr:cNvPr>
        <xdr:cNvSpPr/>
      </xdr:nvSpPr>
      <xdr:spPr>
        <a:xfrm>
          <a:off x="8770332" y="3870593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103307</xdr:colOff>
      <xdr:row>132</xdr:row>
      <xdr:rowOff>171452</xdr:rowOff>
    </xdr:from>
    <xdr:to>
      <xdr:col>5</xdr:col>
      <xdr:colOff>970082</xdr:colOff>
      <xdr:row>132</xdr:row>
      <xdr:rowOff>247652</xdr:rowOff>
    </xdr:to>
    <xdr:sp macro="" textlink="">
      <xdr:nvSpPr>
        <xdr:cNvPr id="18" name="Retângulo de cantos arredondados 37">
          <a:extLst>
            <a:ext uri="{FF2B5EF4-FFF2-40B4-BE49-F238E27FC236}">
              <a16:creationId xmlns:a16="http://schemas.microsoft.com/office/drawing/2014/main" xmlns="" id="{DE473855-1BB2-422D-AFE5-009391F5BA2F}"/>
            </a:ext>
          </a:extLst>
        </xdr:cNvPr>
        <xdr:cNvSpPr/>
      </xdr:nvSpPr>
      <xdr:spPr>
        <a:xfrm>
          <a:off x="8761532" y="39347777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111501</xdr:colOff>
      <xdr:row>61</xdr:row>
      <xdr:rowOff>180975</xdr:rowOff>
    </xdr:from>
    <xdr:to>
      <xdr:col>4</xdr:col>
      <xdr:colOff>978276</xdr:colOff>
      <xdr:row>61</xdr:row>
      <xdr:rowOff>257175</xdr:rowOff>
    </xdr:to>
    <xdr:sp macro="" textlink="">
      <xdr:nvSpPr>
        <xdr:cNvPr id="24" name="Retângulo de cantos arredondados 49">
          <a:extLst>
            <a:ext uri="{FF2B5EF4-FFF2-40B4-BE49-F238E27FC236}">
              <a16:creationId xmlns:a16="http://schemas.microsoft.com/office/drawing/2014/main" xmlns="" id="{4D80BBF6-A89C-4CDC-9EEC-546AC6E6E711}"/>
            </a:ext>
          </a:extLst>
        </xdr:cNvPr>
        <xdr:cNvSpPr/>
      </xdr:nvSpPr>
      <xdr:spPr>
        <a:xfrm>
          <a:off x="7693401" y="1704022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121026</xdr:colOff>
      <xdr:row>63</xdr:row>
      <xdr:rowOff>180975</xdr:rowOff>
    </xdr:from>
    <xdr:to>
      <xdr:col>4</xdr:col>
      <xdr:colOff>987801</xdr:colOff>
      <xdr:row>63</xdr:row>
      <xdr:rowOff>257175</xdr:rowOff>
    </xdr:to>
    <xdr:sp macro="" textlink="">
      <xdr:nvSpPr>
        <xdr:cNvPr id="25" name="Retângulo de cantos arredondados 50">
          <a:extLst>
            <a:ext uri="{FF2B5EF4-FFF2-40B4-BE49-F238E27FC236}">
              <a16:creationId xmlns:a16="http://schemas.microsoft.com/office/drawing/2014/main" xmlns="" id="{DAF02C22-8146-4000-A938-7E1EEA47977D}"/>
            </a:ext>
          </a:extLst>
        </xdr:cNvPr>
        <xdr:cNvSpPr/>
      </xdr:nvSpPr>
      <xdr:spPr>
        <a:xfrm>
          <a:off x="7702926" y="1766887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106242</xdr:colOff>
      <xdr:row>71</xdr:row>
      <xdr:rowOff>203690</xdr:rowOff>
    </xdr:from>
    <xdr:to>
      <xdr:col>4</xdr:col>
      <xdr:colOff>973017</xdr:colOff>
      <xdr:row>71</xdr:row>
      <xdr:rowOff>279890</xdr:rowOff>
    </xdr:to>
    <xdr:sp macro="" textlink="">
      <xdr:nvSpPr>
        <xdr:cNvPr id="26" name="Retângulo de cantos arredondados 51">
          <a:extLst>
            <a:ext uri="{FF2B5EF4-FFF2-40B4-BE49-F238E27FC236}">
              <a16:creationId xmlns:a16="http://schemas.microsoft.com/office/drawing/2014/main" xmlns="" id="{966757FF-873D-434E-9D6D-C0E35140492F}"/>
            </a:ext>
          </a:extLst>
        </xdr:cNvPr>
        <xdr:cNvSpPr/>
      </xdr:nvSpPr>
      <xdr:spPr>
        <a:xfrm>
          <a:off x="7688142" y="2020619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73</xdr:row>
      <xdr:rowOff>216878</xdr:rowOff>
    </xdr:from>
    <xdr:to>
      <xdr:col>4</xdr:col>
      <xdr:colOff>964225</xdr:colOff>
      <xdr:row>73</xdr:row>
      <xdr:rowOff>293078</xdr:rowOff>
    </xdr:to>
    <xdr:sp macro="" textlink="">
      <xdr:nvSpPr>
        <xdr:cNvPr id="27" name="Retângulo de cantos arredondados 52">
          <a:extLst>
            <a:ext uri="{FF2B5EF4-FFF2-40B4-BE49-F238E27FC236}">
              <a16:creationId xmlns:a16="http://schemas.microsoft.com/office/drawing/2014/main" xmlns="" id="{DBF6D45C-6D3B-43EE-BA19-287B1B8C726B}"/>
            </a:ext>
          </a:extLst>
        </xdr:cNvPr>
        <xdr:cNvSpPr/>
      </xdr:nvSpPr>
      <xdr:spPr>
        <a:xfrm>
          <a:off x="7679350" y="2084802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75</xdr:row>
      <xdr:rowOff>200759</xdr:rowOff>
    </xdr:from>
    <xdr:to>
      <xdr:col>4</xdr:col>
      <xdr:colOff>970087</xdr:colOff>
      <xdr:row>75</xdr:row>
      <xdr:rowOff>276959</xdr:rowOff>
    </xdr:to>
    <xdr:sp macro="" textlink="">
      <xdr:nvSpPr>
        <xdr:cNvPr id="28" name="Retângulo de cantos arredondados 53">
          <a:extLst>
            <a:ext uri="{FF2B5EF4-FFF2-40B4-BE49-F238E27FC236}">
              <a16:creationId xmlns:a16="http://schemas.microsoft.com/office/drawing/2014/main" xmlns="" id="{CE4F2533-FD92-4889-8DE2-62639B02294D}"/>
            </a:ext>
          </a:extLst>
        </xdr:cNvPr>
        <xdr:cNvSpPr/>
      </xdr:nvSpPr>
      <xdr:spPr>
        <a:xfrm>
          <a:off x="7685212" y="2146055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106242</xdr:colOff>
      <xdr:row>82</xdr:row>
      <xdr:rowOff>181279</xdr:rowOff>
    </xdr:from>
    <xdr:to>
      <xdr:col>4</xdr:col>
      <xdr:colOff>973017</xdr:colOff>
      <xdr:row>82</xdr:row>
      <xdr:rowOff>257479</xdr:rowOff>
    </xdr:to>
    <xdr:sp macro="" textlink="">
      <xdr:nvSpPr>
        <xdr:cNvPr id="29" name="Retângulo de cantos arredondados 54">
          <a:extLst>
            <a:ext uri="{FF2B5EF4-FFF2-40B4-BE49-F238E27FC236}">
              <a16:creationId xmlns:a16="http://schemas.microsoft.com/office/drawing/2014/main" xmlns="" id="{2C54CBCC-0D66-41B5-86CB-9908CDF14018}"/>
            </a:ext>
          </a:extLst>
        </xdr:cNvPr>
        <xdr:cNvSpPr/>
      </xdr:nvSpPr>
      <xdr:spPr>
        <a:xfrm>
          <a:off x="7688142" y="2364135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84</xdr:row>
      <xdr:rowOff>216878</xdr:rowOff>
    </xdr:from>
    <xdr:to>
      <xdr:col>4</xdr:col>
      <xdr:colOff>964225</xdr:colOff>
      <xdr:row>84</xdr:row>
      <xdr:rowOff>293078</xdr:rowOff>
    </xdr:to>
    <xdr:sp macro="" textlink="">
      <xdr:nvSpPr>
        <xdr:cNvPr id="30" name="Retângulo de cantos arredondados 55">
          <a:extLst>
            <a:ext uri="{FF2B5EF4-FFF2-40B4-BE49-F238E27FC236}">
              <a16:creationId xmlns:a16="http://schemas.microsoft.com/office/drawing/2014/main" xmlns="" id="{BF9AF197-7027-4138-81B2-CC1BA122CE73}"/>
            </a:ext>
          </a:extLst>
        </xdr:cNvPr>
        <xdr:cNvSpPr/>
      </xdr:nvSpPr>
      <xdr:spPr>
        <a:xfrm>
          <a:off x="7679350" y="24305603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86</xdr:row>
      <xdr:rowOff>200759</xdr:rowOff>
    </xdr:from>
    <xdr:to>
      <xdr:col>4</xdr:col>
      <xdr:colOff>970087</xdr:colOff>
      <xdr:row>86</xdr:row>
      <xdr:rowOff>276959</xdr:rowOff>
    </xdr:to>
    <xdr:sp macro="" textlink="">
      <xdr:nvSpPr>
        <xdr:cNvPr id="31" name="Retângulo de cantos arredondados 56">
          <a:extLst>
            <a:ext uri="{FF2B5EF4-FFF2-40B4-BE49-F238E27FC236}">
              <a16:creationId xmlns:a16="http://schemas.microsoft.com/office/drawing/2014/main" xmlns="" id="{7E1DFEC8-8881-4BC7-910D-524E7D056B9C}"/>
            </a:ext>
          </a:extLst>
        </xdr:cNvPr>
        <xdr:cNvSpPr/>
      </xdr:nvSpPr>
      <xdr:spPr>
        <a:xfrm>
          <a:off x="7685212" y="2491813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100296</xdr:colOff>
      <xdr:row>78</xdr:row>
      <xdr:rowOff>180975</xdr:rowOff>
    </xdr:from>
    <xdr:to>
      <xdr:col>4</xdr:col>
      <xdr:colOff>967071</xdr:colOff>
      <xdr:row>78</xdr:row>
      <xdr:rowOff>257175</xdr:rowOff>
    </xdr:to>
    <xdr:sp macro="" textlink="">
      <xdr:nvSpPr>
        <xdr:cNvPr id="32" name="Retângulo de cantos arredondados 57">
          <a:extLst>
            <a:ext uri="{FF2B5EF4-FFF2-40B4-BE49-F238E27FC236}">
              <a16:creationId xmlns:a16="http://schemas.microsoft.com/office/drawing/2014/main" xmlns="" id="{A34A327D-A5CC-4C2B-9936-9C3DDEA2355C}"/>
            </a:ext>
          </a:extLst>
        </xdr:cNvPr>
        <xdr:cNvSpPr/>
      </xdr:nvSpPr>
      <xdr:spPr>
        <a:xfrm>
          <a:off x="7682196" y="2238375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109821</xdr:colOff>
      <xdr:row>80</xdr:row>
      <xdr:rowOff>180975</xdr:rowOff>
    </xdr:from>
    <xdr:to>
      <xdr:col>4</xdr:col>
      <xdr:colOff>976596</xdr:colOff>
      <xdr:row>80</xdr:row>
      <xdr:rowOff>257175</xdr:rowOff>
    </xdr:to>
    <xdr:sp macro="" textlink="">
      <xdr:nvSpPr>
        <xdr:cNvPr id="33" name="Retângulo de cantos arredondados 58">
          <a:extLst>
            <a:ext uri="{FF2B5EF4-FFF2-40B4-BE49-F238E27FC236}">
              <a16:creationId xmlns:a16="http://schemas.microsoft.com/office/drawing/2014/main" xmlns="" id="{2F83CDD9-64AE-45FA-9C88-7F648CB9331B}"/>
            </a:ext>
          </a:extLst>
        </xdr:cNvPr>
        <xdr:cNvSpPr/>
      </xdr:nvSpPr>
      <xdr:spPr>
        <a:xfrm>
          <a:off x="7691721" y="2301240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106242</xdr:colOff>
      <xdr:row>88</xdr:row>
      <xdr:rowOff>203690</xdr:rowOff>
    </xdr:from>
    <xdr:to>
      <xdr:col>4</xdr:col>
      <xdr:colOff>973017</xdr:colOff>
      <xdr:row>88</xdr:row>
      <xdr:rowOff>279890</xdr:rowOff>
    </xdr:to>
    <xdr:sp macro="" textlink="">
      <xdr:nvSpPr>
        <xdr:cNvPr id="34" name="Retângulo de cantos arredondados 59">
          <a:extLst>
            <a:ext uri="{FF2B5EF4-FFF2-40B4-BE49-F238E27FC236}">
              <a16:creationId xmlns:a16="http://schemas.microsoft.com/office/drawing/2014/main" xmlns="" id="{5A8D140E-D827-437F-8410-23C25653BCA2}"/>
            </a:ext>
          </a:extLst>
        </xdr:cNvPr>
        <xdr:cNvSpPr/>
      </xdr:nvSpPr>
      <xdr:spPr>
        <a:xfrm>
          <a:off x="7688142" y="2554971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90</xdr:row>
      <xdr:rowOff>216878</xdr:rowOff>
    </xdr:from>
    <xdr:to>
      <xdr:col>4</xdr:col>
      <xdr:colOff>964225</xdr:colOff>
      <xdr:row>90</xdr:row>
      <xdr:rowOff>293078</xdr:rowOff>
    </xdr:to>
    <xdr:sp macro="" textlink="">
      <xdr:nvSpPr>
        <xdr:cNvPr id="35" name="Retângulo de cantos arredondados 60">
          <a:extLst>
            <a:ext uri="{FF2B5EF4-FFF2-40B4-BE49-F238E27FC236}">
              <a16:creationId xmlns:a16="http://schemas.microsoft.com/office/drawing/2014/main" xmlns="" id="{064CA8F6-91B4-4327-BCA6-FD5F99658BA6}"/>
            </a:ext>
          </a:extLst>
        </xdr:cNvPr>
        <xdr:cNvSpPr/>
      </xdr:nvSpPr>
      <xdr:spPr>
        <a:xfrm>
          <a:off x="7679350" y="26191553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92</xdr:row>
      <xdr:rowOff>200759</xdr:rowOff>
    </xdr:from>
    <xdr:to>
      <xdr:col>4</xdr:col>
      <xdr:colOff>970087</xdr:colOff>
      <xdr:row>92</xdr:row>
      <xdr:rowOff>276959</xdr:rowOff>
    </xdr:to>
    <xdr:sp macro="" textlink="">
      <xdr:nvSpPr>
        <xdr:cNvPr id="36" name="Retângulo de cantos arredondados 61">
          <a:extLst>
            <a:ext uri="{FF2B5EF4-FFF2-40B4-BE49-F238E27FC236}">
              <a16:creationId xmlns:a16="http://schemas.microsoft.com/office/drawing/2014/main" xmlns="" id="{CA551FE2-E2A1-4272-AD02-FBC2C351C6E9}"/>
            </a:ext>
          </a:extLst>
        </xdr:cNvPr>
        <xdr:cNvSpPr/>
      </xdr:nvSpPr>
      <xdr:spPr>
        <a:xfrm>
          <a:off x="7685212" y="2680408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94</xdr:row>
      <xdr:rowOff>200759</xdr:rowOff>
    </xdr:from>
    <xdr:to>
      <xdr:col>4</xdr:col>
      <xdr:colOff>970087</xdr:colOff>
      <xdr:row>94</xdr:row>
      <xdr:rowOff>276959</xdr:rowOff>
    </xdr:to>
    <xdr:sp macro="" textlink="">
      <xdr:nvSpPr>
        <xdr:cNvPr id="37" name="Retângulo de cantos arredondados 62">
          <a:extLst>
            <a:ext uri="{FF2B5EF4-FFF2-40B4-BE49-F238E27FC236}">
              <a16:creationId xmlns:a16="http://schemas.microsoft.com/office/drawing/2014/main" xmlns="" id="{DDBA5735-9279-472B-87FB-1696C9E9958B}"/>
            </a:ext>
          </a:extLst>
        </xdr:cNvPr>
        <xdr:cNvSpPr/>
      </xdr:nvSpPr>
      <xdr:spPr>
        <a:xfrm>
          <a:off x="7685212" y="2743273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106242</xdr:colOff>
      <xdr:row>96</xdr:row>
      <xdr:rowOff>203690</xdr:rowOff>
    </xdr:from>
    <xdr:to>
      <xdr:col>4</xdr:col>
      <xdr:colOff>973017</xdr:colOff>
      <xdr:row>96</xdr:row>
      <xdr:rowOff>279890</xdr:rowOff>
    </xdr:to>
    <xdr:sp macro="" textlink="">
      <xdr:nvSpPr>
        <xdr:cNvPr id="38" name="Retângulo de cantos arredondados 63">
          <a:extLst>
            <a:ext uri="{FF2B5EF4-FFF2-40B4-BE49-F238E27FC236}">
              <a16:creationId xmlns:a16="http://schemas.microsoft.com/office/drawing/2014/main" xmlns="" id="{EDB8494C-20C5-47DC-ABA7-4ECE851E4B8E}"/>
            </a:ext>
          </a:extLst>
        </xdr:cNvPr>
        <xdr:cNvSpPr/>
      </xdr:nvSpPr>
      <xdr:spPr>
        <a:xfrm>
          <a:off x="7688142" y="2806431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98</xdr:row>
      <xdr:rowOff>216878</xdr:rowOff>
    </xdr:from>
    <xdr:to>
      <xdr:col>4</xdr:col>
      <xdr:colOff>964225</xdr:colOff>
      <xdr:row>98</xdr:row>
      <xdr:rowOff>293078</xdr:rowOff>
    </xdr:to>
    <xdr:sp macro="" textlink="">
      <xdr:nvSpPr>
        <xdr:cNvPr id="39" name="Retângulo de cantos arredondados 64">
          <a:extLst>
            <a:ext uri="{FF2B5EF4-FFF2-40B4-BE49-F238E27FC236}">
              <a16:creationId xmlns:a16="http://schemas.microsoft.com/office/drawing/2014/main" xmlns="" id="{D18C859F-908A-44F3-BDDF-640E6552FDB8}"/>
            </a:ext>
          </a:extLst>
        </xdr:cNvPr>
        <xdr:cNvSpPr/>
      </xdr:nvSpPr>
      <xdr:spPr>
        <a:xfrm>
          <a:off x="7679350" y="28706153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100</xdr:row>
      <xdr:rowOff>200759</xdr:rowOff>
    </xdr:from>
    <xdr:to>
      <xdr:col>4</xdr:col>
      <xdr:colOff>970087</xdr:colOff>
      <xdr:row>100</xdr:row>
      <xdr:rowOff>276959</xdr:rowOff>
    </xdr:to>
    <xdr:sp macro="" textlink="">
      <xdr:nvSpPr>
        <xdr:cNvPr id="40" name="Retângulo de cantos arredondados 65">
          <a:extLst>
            <a:ext uri="{FF2B5EF4-FFF2-40B4-BE49-F238E27FC236}">
              <a16:creationId xmlns:a16="http://schemas.microsoft.com/office/drawing/2014/main" xmlns="" id="{7A585496-BB9F-42D0-8F25-A10D27A19F37}"/>
            </a:ext>
          </a:extLst>
        </xdr:cNvPr>
        <xdr:cNvSpPr/>
      </xdr:nvSpPr>
      <xdr:spPr>
        <a:xfrm>
          <a:off x="7685212" y="2931868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66675</xdr:colOff>
      <xdr:row>103</xdr:row>
      <xdr:rowOff>180975</xdr:rowOff>
    </xdr:from>
    <xdr:to>
      <xdr:col>3</xdr:col>
      <xdr:colOff>933450</xdr:colOff>
      <xdr:row>103</xdr:row>
      <xdr:rowOff>257175</xdr:rowOff>
    </xdr:to>
    <xdr:sp macro="" textlink="">
      <xdr:nvSpPr>
        <xdr:cNvPr id="41" name="Retângulo de cantos arredondados 66">
          <a:extLst>
            <a:ext uri="{FF2B5EF4-FFF2-40B4-BE49-F238E27FC236}">
              <a16:creationId xmlns:a16="http://schemas.microsoft.com/office/drawing/2014/main" xmlns="" id="{DA381CA9-C6F5-4DEB-8C9E-F92B0EBB3B6A}"/>
            </a:ext>
          </a:extLst>
        </xdr:cNvPr>
        <xdr:cNvSpPr/>
      </xdr:nvSpPr>
      <xdr:spPr>
        <a:xfrm>
          <a:off x="6648450" y="3024187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64994</xdr:colOff>
      <xdr:row>105</xdr:row>
      <xdr:rowOff>192181</xdr:rowOff>
    </xdr:from>
    <xdr:to>
      <xdr:col>3</xdr:col>
      <xdr:colOff>931769</xdr:colOff>
      <xdr:row>105</xdr:row>
      <xdr:rowOff>268381</xdr:rowOff>
    </xdr:to>
    <xdr:sp macro="" textlink="">
      <xdr:nvSpPr>
        <xdr:cNvPr id="42" name="Retângulo de cantos arredondados 67">
          <a:extLst>
            <a:ext uri="{FF2B5EF4-FFF2-40B4-BE49-F238E27FC236}">
              <a16:creationId xmlns:a16="http://schemas.microsoft.com/office/drawing/2014/main" xmlns="" id="{1A6CB871-AA50-4852-813A-919B4CBBF58A}"/>
            </a:ext>
          </a:extLst>
        </xdr:cNvPr>
        <xdr:cNvSpPr/>
      </xdr:nvSpPr>
      <xdr:spPr>
        <a:xfrm>
          <a:off x="6646769" y="30881731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100297</xdr:colOff>
      <xdr:row>108</xdr:row>
      <xdr:rowOff>180975</xdr:rowOff>
    </xdr:from>
    <xdr:to>
      <xdr:col>4</xdr:col>
      <xdr:colOff>967072</xdr:colOff>
      <xdr:row>108</xdr:row>
      <xdr:rowOff>257175</xdr:rowOff>
    </xdr:to>
    <xdr:sp macro="" textlink="">
      <xdr:nvSpPr>
        <xdr:cNvPr id="43" name="Retângulo de cantos arredondados 68">
          <a:extLst>
            <a:ext uri="{FF2B5EF4-FFF2-40B4-BE49-F238E27FC236}">
              <a16:creationId xmlns:a16="http://schemas.microsoft.com/office/drawing/2014/main" xmlns="" id="{277FB5AD-850E-41F1-9395-2CECE7E6208A}"/>
            </a:ext>
          </a:extLst>
        </xdr:cNvPr>
        <xdr:cNvSpPr/>
      </xdr:nvSpPr>
      <xdr:spPr>
        <a:xfrm>
          <a:off x="7682197" y="3181350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98614</xdr:colOff>
      <xdr:row>110</xdr:row>
      <xdr:rowOff>180975</xdr:rowOff>
    </xdr:from>
    <xdr:to>
      <xdr:col>5</xdr:col>
      <xdr:colOff>965389</xdr:colOff>
      <xdr:row>110</xdr:row>
      <xdr:rowOff>257175</xdr:rowOff>
    </xdr:to>
    <xdr:sp macro="" textlink="">
      <xdr:nvSpPr>
        <xdr:cNvPr id="44" name="Retângulo de cantos arredondados 69">
          <a:extLst>
            <a:ext uri="{FF2B5EF4-FFF2-40B4-BE49-F238E27FC236}">
              <a16:creationId xmlns:a16="http://schemas.microsoft.com/office/drawing/2014/main" xmlns="" id="{054A061C-E4F6-4AEA-AA22-414C6734198E}"/>
            </a:ext>
          </a:extLst>
        </xdr:cNvPr>
        <xdr:cNvSpPr/>
      </xdr:nvSpPr>
      <xdr:spPr>
        <a:xfrm>
          <a:off x="8756839" y="3244215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97452</xdr:colOff>
      <xdr:row>113</xdr:row>
      <xdr:rowOff>216878</xdr:rowOff>
    </xdr:from>
    <xdr:to>
      <xdr:col>5</xdr:col>
      <xdr:colOff>964227</xdr:colOff>
      <xdr:row>113</xdr:row>
      <xdr:rowOff>293078</xdr:rowOff>
    </xdr:to>
    <xdr:sp macro="" textlink="">
      <xdr:nvSpPr>
        <xdr:cNvPr id="45" name="Retângulo de cantos arredondados 70">
          <a:extLst>
            <a:ext uri="{FF2B5EF4-FFF2-40B4-BE49-F238E27FC236}">
              <a16:creationId xmlns:a16="http://schemas.microsoft.com/office/drawing/2014/main" xmlns="" id="{A60CC7DD-BB71-4434-BA9D-64F12EBAD260}"/>
            </a:ext>
          </a:extLst>
        </xdr:cNvPr>
        <xdr:cNvSpPr/>
      </xdr:nvSpPr>
      <xdr:spPr>
        <a:xfrm>
          <a:off x="8755677" y="3342102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103314</xdr:colOff>
      <xdr:row>115</xdr:row>
      <xdr:rowOff>200759</xdr:rowOff>
    </xdr:from>
    <xdr:to>
      <xdr:col>5</xdr:col>
      <xdr:colOff>970089</xdr:colOff>
      <xdr:row>115</xdr:row>
      <xdr:rowOff>276959</xdr:rowOff>
    </xdr:to>
    <xdr:sp macro="" textlink="">
      <xdr:nvSpPr>
        <xdr:cNvPr id="46" name="Retângulo de cantos arredondados 71">
          <a:extLst>
            <a:ext uri="{FF2B5EF4-FFF2-40B4-BE49-F238E27FC236}">
              <a16:creationId xmlns:a16="http://schemas.microsoft.com/office/drawing/2014/main" xmlns="" id="{2AB82747-413E-4ED3-B9E2-6D0988B79645}"/>
            </a:ext>
          </a:extLst>
        </xdr:cNvPr>
        <xdr:cNvSpPr/>
      </xdr:nvSpPr>
      <xdr:spPr>
        <a:xfrm>
          <a:off x="8761539" y="3403355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106244</xdr:colOff>
      <xdr:row>117</xdr:row>
      <xdr:rowOff>203690</xdr:rowOff>
    </xdr:from>
    <xdr:to>
      <xdr:col>5</xdr:col>
      <xdr:colOff>973019</xdr:colOff>
      <xdr:row>117</xdr:row>
      <xdr:rowOff>279890</xdr:rowOff>
    </xdr:to>
    <xdr:sp macro="" textlink="">
      <xdr:nvSpPr>
        <xdr:cNvPr id="47" name="Retângulo de cantos arredondados 72">
          <a:extLst>
            <a:ext uri="{FF2B5EF4-FFF2-40B4-BE49-F238E27FC236}">
              <a16:creationId xmlns:a16="http://schemas.microsoft.com/office/drawing/2014/main" xmlns="" id="{34069867-C20F-43F9-86BD-5E80C2F3028C}"/>
            </a:ext>
          </a:extLst>
        </xdr:cNvPr>
        <xdr:cNvSpPr/>
      </xdr:nvSpPr>
      <xdr:spPr>
        <a:xfrm>
          <a:off x="8764469" y="3466514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97452</xdr:colOff>
      <xdr:row>119</xdr:row>
      <xdr:rowOff>216878</xdr:rowOff>
    </xdr:from>
    <xdr:to>
      <xdr:col>5</xdr:col>
      <xdr:colOff>964227</xdr:colOff>
      <xdr:row>119</xdr:row>
      <xdr:rowOff>293078</xdr:rowOff>
    </xdr:to>
    <xdr:sp macro="" textlink="">
      <xdr:nvSpPr>
        <xdr:cNvPr id="48" name="Retângulo de cantos arredondados 73">
          <a:extLst>
            <a:ext uri="{FF2B5EF4-FFF2-40B4-BE49-F238E27FC236}">
              <a16:creationId xmlns:a16="http://schemas.microsoft.com/office/drawing/2014/main" xmlns="" id="{5ED01C8C-6DFA-4985-933C-EB15D83144C7}"/>
            </a:ext>
          </a:extLst>
        </xdr:cNvPr>
        <xdr:cNvSpPr/>
      </xdr:nvSpPr>
      <xdr:spPr>
        <a:xfrm>
          <a:off x="8755677" y="3530697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103314</xdr:colOff>
      <xdr:row>121</xdr:row>
      <xdr:rowOff>200759</xdr:rowOff>
    </xdr:from>
    <xdr:to>
      <xdr:col>5</xdr:col>
      <xdr:colOff>970089</xdr:colOff>
      <xdr:row>121</xdr:row>
      <xdr:rowOff>276959</xdr:rowOff>
    </xdr:to>
    <xdr:sp macro="" textlink="">
      <xdr:nvSpPr>
        <xdr:cNvPr id="49" name="Retângulo de cantos arredondados 74">
          <a:extLst>
            <a:ext uri="{FF2B5EF4-FFF2-40B4-BE49-F238E27FC236}">
              <a16:creationId xmlns:a16="http://schemas.microsoft.com/office/drawing/2014/main" xmlns="" id="{333DBEFC-0C8D-4020-833C-B3CA80B907DC}"/>
            </a:ext>
          </a:extLst>
        </xdr:cNvPr>
        <xdr:cNvSpPr/>
      </xdr:nvSpPr>
      <xdr:spPr>
        <a:xfrm>
          <a:off x="8761539" y="3591950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103314</xdr:colOff>
      <xdr:row>123</xdr:row>
      <xdr:rowOff>200759</xdr:rowOff>
    </xdr:from>
    <xdr:to>
      <xdr:col>5</xdr:col>
      <xdr:colOff>970089</xdr:colOff>
      <xdr:row>123</xdr:row>
      <xdr:rowOff>276959</xdr:rowOff>
    </xdr:to>
    <xdr:sp macro="" textlink="">
      <xdr:nvSpPr>
        <xdr:cNvPr id="50" name="Retângulo de cantos arredondados 75">
          <a:extLst>
            <a:ext uri="{FF2B5EF4-FFF2-40B4-BE49-F238E27FC236}">
              <a16:creationId xmlns:a16="http://schemas.microsoft.com/office/drawing/2014/main" xmlns="" id="{A677224C-61F0-4AF9-A3CC-CC6295065CF0}"/>
            </a:ext>
          </a:extLst>
        </xdr:cNvPr>
        <xdr:cNvSpPr/>
      </xdr:nvSpPr>
      <xdr:spPr>
        <a:xfrm>
          <a:off x="8761539" y="3654815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106244</xdr:colOff>
      <xdr:row>125</xdr:row>
      <xdr:rowOff>203690</xdr:rowOff>
    </xdr:from>
    <xdr:to>
      <xdr:col>5</xdr:col>
      <xdr:colOff>973019</xdr:colOff>
      <xdr:row>125</xdr:row>
      <xdr:rowOff>279890</xdr:rowOff>
    </xdr:to>
    <xdr:sp macro="" textlink="">
      <xdr:nvSpPr>
        <xdr:cNvPr id="51" name="Retângulo de cantos arredondados 76">
          <a:extLst>
            <a:ext uri="{FF2B5EF4-FFF2-40B4-BE49-F238E27FC236}">
              <a16:creationId xmlns:a16="http://schemas.microsoft.com/office/drawing/2014/main" xmlns="" id="{761FF081-F520-43AF-A9B1-4B39603C5614}"/>
            </a:ext>
          </a:extLst>
        </xdr:cNvPr>
        <xdr:cNvSpPr/>
      </xdr:nvSpPr>
      <xdr:spPr>
        <a:xfrm>
          <a:off x="8764469" y="3717974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97452</xdr:colOff>
      <xdr:row>127</xdr:row>
      <xdr:rowOff>216878</xdr:rowOff>
    </xdr:from>
    <xdr:to>
      <xdr:col>5</xdr:col>
      <xdr:colOff>964227</xdr:colOff>
      <xdr:row>127</xdr:row>
      <xdr:rowOff>293078</xdr:rowOff>
    </xdr:to>
    <xdr:sp macro="" textlink="">
      <xdr:nvSpPr>
        <xdr:cNvPr id="52" name="Retângulo de cantos arredondados 77">
          <a:extLst>
            <a:ext uri="{FF2B5EF4-FFF2-40B4-BE49-F238E27FC236}">
              <a16:creationId xmlns:a16="http://schemas.microsoft.com/office/drawing/2014/main" xmlns="" id="{648D5ED0-AC7F-4CDF-B374-DD874305E4C1}"/>
            </a:ext>
          </a:extLst>
        </xdr:cNvPr>
        <xdr:cNvSpPr/>
      </xdr:nvSpPr>
      <xdr:spPr>
        <a:xfrm>
          <a:off x="8755677" y="3782157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105338</xdr:colOff>
      <xdr:row>110</xdr:row>
      <xdr:rowOff>176492</xdr:rowOff>
    </xdr:from>
    <xdr:to>
      <xdr:col>4</xdr:col>
      <xdr:colOff>972113</xdr:colOff>
      <xdr:row>110</xdr:row>
      <xdr:rowOff>252692</xdr:rowOff>
    </xdr:to>
    <xdr:sp macro="" textlink="">
      <xdr:nvSpPr>
        <xdr:cNvPr id="60" name="Retângulo de cantos arredondados 164">
          <a:extLst>
            <a:ext uri="{FF2B5EF4-FFF2-40B4-BE49-F238E27FC236}">
              <a16:creationId xmlns:a16="http://schemas.microsoft.com/office/drawing/2014/main" xmlns="" id="{3640B08A-A0DD-4053-A70A-596233A755FB}"/>
            </a:ext>
          </a:extLst>
        </xdr:cNvPr>
        <xdr:cNvSpPr/>
      </xdr:nvSpPr>
      <xdr:spPr>
        <a:xfrm>
          <a:off x="7687238" y="32437667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84614</xdr:colOff>
      <xdr:row>108</xdr:row>
      <xdr:rowOff>176491</xdr:rowOff>
    </xdr:from>
    <xdr:to>
      <xdr:col>5</xdr:col>
      <xdr:colOff>951389</xdr:colOff>
      <xdr:row>108</xdr:row>
      <xdr:rowOff>252691</xdr:rowOff>
    </xdr:to>
    <xdr:sp macro="" textlink="">
      <xdr:nvSpPr>
        <xdr:cNvPr id="61" name="Retângulo de cantos arredondados 165">
          <a:extLst>
            <a:ext uri="{FF2B5EF4-FFF2-40B4-BE49-F238E27FC236}">
              <a16:creationId xmlns:a16="http://schemas.microsoft.com/office/drawing/2014/main" xmlns="" id="{DA9FC9CB-3013-4111-8B24-F1F08852893F}"/>
            </a:ext>
          </a:extLst>
        </xdr:cNvPr>
        <xdr:cNvSpPr/>
      </xdr:nvSpPr>
      <xdr:spPr>
        <a:xfrm>
          <a:off x="8742839" y="31809016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104173</xdr:colOff>
      <xdr:row>113</xdr:row>
      <xdr:rowOff>212394</xdr:rowOff>
    </xdr:from>
    <xdr:to>
      <xdr:col>4</xdr:col>
      <xdr:colOff>970948</xdr:colOff>
      <xdr:row>113</xdr:row>
      <xdr:rowOff>288594</xdr:rowOff>
    </xdr:to>
    <xdr:sp macro="" textlink="">
      <xdr:nvSpPr>
        <xdr:cNvPr id="64" name="Retângulo de cantos arredondados 168">
          <a:extLst>
            <a:ext uri="{FF2B5EF4-FFF2-40B4-BE49-F238E27FC236}">
              <a16:creationId xmlns:a16="http://schemas.microsoft.com/office/drawing/2014/main" xmlns="" id="{164C76E0-8CDD-49AE-A4E0-FC4CCF06DEB0}"/>
            </a:ext>
          </a:extLst>
        </xdr:cNvPr>
        <xdr:cNvSpPr/>
      </xdr:nvSpPr>
      <xdr:spPr>
        <a:xfrm>
          <a:off x="7686073" y="3341654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110035</xdr:colOff>
      <xdr:row>115</xdr:row>
      <xdr:rowOff>196275</xdr:rowOff>
    </xdr:from>
    <xdr:to>
      <xdr:col>4</xdr:col>
      <xdr:colOff>976810</xdr:colOff>
      <xdr:row>115</xdr:row>
      <xdr:rowOff>272475</xdr:rowOff>
    </xdr:to>
    <xdr:sp macro="" textlink="">
      <xdr:nvSpPr>
        <xdr:cNvPr id="65" name="Retângulo de cantos arredondados 169">
          <a:extLst>
            <a:ext uri="{FF2B5EF4-FFF2-40B4-BE49-F238E27FC236}">
              <a16:creationId xmlns:a16="http://schemas.microsoft.com/office/drawing/2014/main" xmlns="" id="{5A3AB9D9-592C-4CF0-BD2D-D71C93E864B0}"/>
            </a:ext>
          </a:extLst>
        </xdr:cNvPr>
        <xdr:cNvSpPr/>
      </xdr:nvSpPr>
      <xdr:spPr>
        <a:xfrm>
          <a:off x="7691935" y="3402907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112965</xdr:colOff>
      <xdr:row>117</xdr:row>
      <xdr:rowOff>199206</xdr:rowOff>
    </xdr:from>
    <xdr:to>
      <xdr:col>4</xdr:col>
      <xdr:colOff>979740</xdr:colOff>
      <xdr:row>117</xdr:row>
      <xdr:rowOff>275406</xdr:rowOff>
    </xdr:to>
    <xdr:sp macro="" textlink="">
      <xdr:nvSpPr>
        <xdr:cNvPr id="66" name="Retângulo de cantos arredondados 170">
          <a:extLst>
            <a:ext uri="{FF2B5EF4-FFF2-40B4-BE49-F238E27FC236}">
              <a16:creationId xmlns:a16="http://schemas.microsoft.com/office/drawing/2014/main" xmlns="" id="{44B48E23-AFF6-41AA-ACFF-95F6A61952F2}"/>
            </a:ext>
          </a:extLst>
        </xdr:cNvPr>
        <xdr:cNvSpPr/>
      </xdr:nvSpPr>
      <xdr:spPr>
        <a:xfrm>
          <a:off x="7694865" y="34660656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104173</xdr:colOff>
      <xdr:row>119</xdr:row>
      <xdr:rowOff>212394</xdr:rowOff>
    </xdr:from>
    <xdr:to>
      <xdr:col>4</xdr:col>
      <xdr:colOff>970948</xdr:colOff>
      <xdr:row>119</xdr:row>
      <xdr:rowOff>288594</xdr:rowOff>
    </xdr:to>
    <xdr:sp macro="" textlink="">
      <xdr:nvSpPr>
        <xdr:cNvPr id="67" name="Retângulo de cantos arredondados 171">
          <a:extLst>
            <a:ext uri="{FF2B5EF4-FFF2-40B4-BE49-F238E27FC236}">
              <a16:creationId xmlns:a16="http://schemas.microsoft.com/office/drawing/2014/main" xmlns="" id="{AC75A096-4E9C-4DCC-95E0-967E235CF5B2}"/>
            </a:ext>
          </a:extLst>
        </xdr:cNvPr>
        <xdr:cNvSpPr/>
      </xdr:nvSpPr>
      <xdr:spPr>
        <a:xfrm>
          <a:off x="7686073" y="3530249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110035</xdr:colOff>
      <xdr:row>121</xdr:row>
      <xdr:rowOff>196275</xdr:rowOff>
    </xdr:from>
    <xdr:to>
      <xdr:col>4</xdr:col>
      <xdr:colOff>976810</xdr:colOff>
      <xdr:row>121</xdr:row>
      <xdr:rowOff>272475</xdr:rowOff>
    </xdr:to>
    <xdr:sp macro="" textlink="">
      <xdr:nvSpPr>
        <xdr:cNvPr id="68" name="Retângulo de cantos arredondados 172">
          <a:extLst>
            <a:ext uri="{FF2B5EF4-FFF2-40B4-BE49-F238E27FC236}">
              <a16:creationId xmlns:a16="http://schemas.microsoft.com/office/drawing/2014/main" xmlns="" id="{458C84CC-76A6-499F-8925-AFC127AA140A}"/>
            </a:ext>
          </a:extLst>
        </xdr:cNvPr>
        <xdr:cNvSpPr/>
      </xdr:nvSpPr>
      <xdr:spPr>
        <a:xfrm>
          <a:off x="7691935" y="3591502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110035</xdr:colOff>
      <xdr:row>123</xdr:row>
      <xdr:rowOff>196275</xdr:rowOff>
    </xdr:from>
    <xdr:to>
      <xdr:col>4</xdr:col>
      <xdr:colOff>976810</xdr:colOff>
      <xdr:row>123</xdr:row>
      <xdr:rowOff>272475</xdr:rowOff>
    </xdr:to>
    <xdr:sp macro="" textlink="">
      <xdr:nvSpPr>
        <xdr:cNvPr id="69" name="Retângulo de cantos arredondados 173">
          <a:extLst>
            <a:ext uri="{FF2B5EF4-FFF2-40B4-BE49-F238E27FC236}">
              <a16:creationId xmlns:a16="http://schemas.microsoft.com/office/drawing/2014/main" xmlns="" id="{DDE82785-A5F3-41C9-8B70-4A1ECD2AF0BF}"/>
            </a:ext>
          </a:extLst>
        </xdr:cNvPr>
        <xdr:cNvSpPr/>
      </xdr:nvSpPr>
      <xdr:spPr>
        <a:xfrm>
          <a:off x="7691935" y="3654367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112965</xdr:colOff>
      <xdr:row>125</xdr:row>
      <xdr:rowOff>199206</xdr:rowOff>
    </xdr:from>
    <xdr:to>
      <xdr:col>4</xdr:col>
      <xdr:colOff>979740</xdr:colOff>
      <xdr:row>125</xdr:row>
      <xdr:rowOff>275406</xdr:rowOff>
    </xdr:to>
    <xdr:sp macro="" textlink="">
      <xdr:nvSpPr>
        <xdr:cNvPr id="70" name="Retângulo de cantos arredondados 174">
          <a:extLst>
            <a:ext uri="{FF2B5EF4-FFF2-40B4-BE49-F238E27FC236}">
              <a16:creationId xmlns:a16="http://schemas.microsoft.com/office/drawing/2014/main" xmlns="" id="{36B43722-BE7F-422F-ADF4-5B5702E52E4C}"/>
            </a:ext>
          </a:extLst>
        </xdr:cNvPr>
        <xdr:cNvSpPr/>
      </xdr:nvSpPr>
      <xdr:spPr>
        <a:xfrm>
          <a:off x="7694865" y="37175256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104173</xdr:colOff>
      <xdr:row>127</xdr:row>
      <xdr:rowOff>212394</xdr:rowOff>
    </xdr:from>
    <xdr:to>
      <xdr:col>4</xdr:col>
      <xdr:colOff>970948</xdr:colOff>
      <xdr:row>127</xdr:row>
      <xdr:rowOff>288594</xdr:rowOff>
    </xdr:to>
    <xdr:sp macro="" textlink="">
      <xdr:nvSpPr>
        <xdr:cNvPr id="71" name="Retângulo de cantos arredondados 175">
          <a:extLst>
            <a:ext uri="{FF2B5EF4-FFF2-40B4-BE49-F238E27FC236}">
              <a16:creationId xmlns:a16="http://schemas.microsoft.com/office/drawing/2014/main" xmlns="" id="{9D2224A5-A34A-463E-B23E-AA8BE9A55076}"/>
            </a:ext>
          </a:extLst>
        </xdr:cNvPr>
        <xdr:cNvSpPr/>
      </xdr:nvSpPr>
      <xdr:spPr>
        <a:xfrm>
          <a:off x="7686073" y="3781709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105339</xdr:colOff>
      <xdr:row>105</xdr:row>
      <xdr:rowOff>176491</xdr:rowOff>
    </xdr:from>
    <xdr:to>
      <xdr:col>4</xdr:col>
      <xdr:colOff>972114</xdr:colOff>
      <xdr:row>105</xdr:row>
      <xdr:rowOff>252691</xdr:rowOff>
    </xdr:to>
    <xdr:sp macro="" textlink="">
      <xdr:nvSpPr>
        <xdr:cNvPr id="72" name="Retângulo de cantos arredondados 180">
          <a:extLst>
            <a:ext uri="{FF2B5EF4-FFF2-40B4-BE49-F238E27FC236}">
              <a16:creationId xmlns:a16="http://schemas.microsoft.com/office/drawing/2014/main" xmlns="" id="{D775480B-2B1E-4A55-85D0-30CD88E32716}"/>
            </a:ext>
          </a:extLst>
        </xdr:cNvPr>
        <xdr:cNvSpPr/>
      </xdr:nvSpPr>
      <xdr:spPr>
        <a:xfrm>
          <a:off x="7687239" y="30866041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112061</xdr:colOff>
      <xdr:row>103</xdr:row>
      <xdr:rowOff>183206</xdr:rowOff>
    </xdr:from>
    <xdr:to>
      <xdr:col>4</xdr:col>
      <xdr:colOff>978836</xdr:colOff>
      <xdr:row>103</xdr:row>
      <xdr:rowOff>259406</xdr:rowOff>
    </xdr:to>
    <xdr:sp macro="" textlink="">
      <xdr:nvSpPr>
        <xdr:cNvPr id="73" name="Retângulo de cantos arredondados 181">
          <a:extLst>
            <a:ext uri="{FF2B5EF4-FFF2-40B4-BE49-F238E27FC236}">
              <a16:creationId xmlns:a16="http://schemas.microsoft.com/office/drawing/2014/main" xmlns="" id="{71D57D79-ED2E-4B4C-9BA0-C74CB1AC6231}"/>
            </a:ext>
          </a:extLst>
        </xdr:cNvPr>
        <xdr:cNvSpPr/>
      </xdr:nvSpPr>
      <xdr:spPr>
        <a:xfrm>
          <a:off x="7693961" y="30244106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106242</xdr:colOff>
      <xdr:row>65</xdr:row>
      <xdr:rowOff>203690</xdr:rowOff>
    </xdr:from>
    <xdr:to>
      <xdr:col>6</xdr:col>
      <xdr:colOff>973017</xdr:colOff>
      <xdr:row>65</xdr:row>
      <xdr:rowOff>279890</xdr:rowOff>
    </xdr:to>
    <xdr:sp macro="" textlink="">
      <xdr:nvSpPr>
        <xdr:cNvPr id="2" name="Retângulo de cantos arredondados 33">
          <a:extLst>
            <a:ext uri="{FF2B5EF4-FFF2-40B4-BE49-F238E27FC236}">
              <a16:creationId xmlns:a16="http://schemas.microsoft.com/office/drawing/2014/main" xmlns="" id="{DB8A7C78-8EDC-4E38-B488-AE8BEED69394}"/>
            </a:ext>
          </a:extLst>
        </xdr:cNvPr>
        <xdr:cNvSpPr/>
      </xdr:nvSpPr>
      <xdr:spPr>
        <a:xfrm>
          <a:off x="8506171" y="11084602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97450</xdr:colOff>
      <xdr:row>67</xdr:row>
      <xdr:rowOff>216878</xdr:rowOff>
    </xdr:from>
    <xdr:to>
      <xdr:col>6</xdr:col>
      <xdr:colOff>964225</xdr:colOff>
      <xdr:row>67</xdr:row>
      <xdr:rowOff>293078</xdr:rowOff>
    </xdr:to>
    <xdr:sp macro="" textlink="">
      <xdr:nvSpPr>
        <xdr:cNvPr id="3" name="Retângulo de cantos arredondados 34">
          <a:extLst>
            <a:ext uri="{FF2B5EF4-FFF2-40B4-BE49-F238E27FC236}">
              <a16:creationId xmlns:a16="http://schemas.microsoft.com/office/drawing/2014/main" xmlns="" id="{EA4923B6-9D0B-4E8E-A656-B6FCAFD72DFD}"/>
            </a:ext>
          </a:extLst>
        </xdr:cNvPr>
        <xdr:cNvSpPr/>
      </xdr:nvSpPr>
      <xdr:spPr>
        <a:xfrm>
          <a:off x="8497379" y="1143082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103312</xdr:colOff>
      <xdr:row>69</xdr:row>
      <xdr:rowOff>200759</xdr:rowOff>
    </xdr:from>
    <xdr:to>
      <xdr:col>6</xdr:col>
      <xdr:colOff>970087</xdr:colOff>
      <xdr:row>69</xdr:row>
      <xdr:rowOff>276959</xdr:rowOff>
    </xdr:to>
    <xdr:sp macro="" textlink="">
      <xdr:nvSpPr>
        <xdr:cNvPr id="4" name="Retângulo de cantos arredondados 35">
          <a:extLst>
            <a:ext uri="{FF2B5EF4-FFF2-40B4-BE49-F238E27FC236}">
              <a16:creationId xmlns:a16="http://schemas.microsoft.com/office/drawing/2014/main" xmlns="" id="{03A963B9-F813-4548-92C5-E8E39D9711B2}"/>
            </a:ext>
          </a:extLst>
        </xdr:cNvPr>
        <xdr:cNvSpPr/>
      </xdr:nvSpPr>
      <xdr:spPr>
        <a:xfrm>
          <a:off x="8503241" y="1177060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112107</xdr:colOff>
      <xdr:row>130</xdr:row>
      <xdr:rowOff>158263</xdr:rowOff>
    </xdr:from>
    <xdr:to>
      <xdr:col>7</xdr:col>
      <xdr:colOff>978882</xdr:colOff>
      <xdr:row>130</xdr:row>
      <xdr:rowOff>234463</xdr:rowOff>
    </xdr:to>
    <xdr:sp macro="" textlink="">
      <xdr:nvSpPr>
        <xdr:cNvPr id="5" name="Retângulo de cantos arredondados 36">
          <a:extLst>
            <a:ext uri="{FF2B5EF4-FFF2-40B4-BE49-F238E27FC236}">
              <a16:creationId xmlns:a16="http://schemas.microsoft.com/office/drawing/2014/main" xmlns="" id="{91C34534-A20A-4E3A-A784-DF88F0D6E419}"/>
            </a:ext>
          </a:extLst>
        </xdr:cNvPr>
        <xdr:cNvSpPr/>
      </xdr:nvSpPr>
      <xdr:spPr>
        <a:xfrm>
          <a:off x="10080860" y="22148687"/>
          <a:ext cx="866775" cy="762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103307</xdr:colOff>
      <xdr:row>132</xdr:row>
      <xdr:rowOff>171452</xdr:rowOff>
    </xdr:from>
    <xdr:to>
      <xdr:col>7</xdr:col>
      <xdr:colOff>970082</xdr:colOff>
      <xdr:row>132</xdr:row>
      <xdr:rowOff>247652</xdr:rowOff>
    </xdr:to>
    <xdr:sp macro="" textlink="">
      <xdr:nvSpPr>
        <xdr:cNvPr id="6" name="Retângulo de cantos arredondados 37">
          <a:extLst>
            <a:ext uri="{FF2B5EF4-FFF2-40B4-BE49-F238E27FC236}">
              <a16:creationId xmlns:a16="http://schemas.microsoft.com/office/drawing/2014/main" xmlns="" id="{2F62AA40-941A-4558-B9B0-426C258B1B42}"/>
            </a:ext>
          </a:extLst>
        </xdr:cNvPr>
        <xdr:cNvSpPr/>
      </xdr:nvSpPr>
      <xdr:spPr>
        <a:xfrm>
          <a:off x="10072060" y="2249491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111501</xdr:colOff>
      <xdr:row>61</xdr:row>
      <xdr:rowOff>180975</xdr:rowOff>
    </xdr:from>
    <xdr:to>
      <xdr:col>6</xdr:col>
      <xdr:colOff>978276</xdr:colOff>
      <xdr:row>61</xdr:row>
      <xdr:rowOff>257175</xdr:rowOff>
    </xdr:to>
    <xdr:sp macro="" textlink="">
      <xdr:nvSpPr>
        <xdr:cNvPr id="7" name="Retângulo de cantos arredondados 49">
          <a:extLst>
            <a:ext uri="{FF2B5EF4-FFF2-40B4-BE49-F238E27FC236}">
              <a16:creationId xmlns:a16="http://schemas.microsoft.com/office/drawing/2014/main" xmlns="" id="{1613BC3E-0002-4326-895D-1E5B93C6CE0D}"/>
            </a:ext>
          </a:extLst>
        </xdr:cNvPr>
        <xdr:cNvSpPr/>
      </xdr:nvSpPr>
      <xdr:spPr>
        <a:xfrm>
          <a:off x="8511430" y="1040342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121026</xdr:colOff>
      <xdr:row>63</xdr:row>
      <xdr:rowOff>180975</xdr:rowOff>
    </xdr:from>
    <xdr:to>
      <xdr:col>6</xdr:col>
      <xdr:colOff>987801</xdr:colOff>
      <xdr:row>63</xdr:row>
      <xdr:rowOff>257175</xdr:rowOff>
    </xdr:to>
    <xdr:sp macro="" textlink="">
      <xdr:nvSpPr>
        <xdr:cNvPr id="8" name="Retângulo de cantos arredondados 50">
          <a:extLst>
            <a:ext uri="{FF2B5EF4-FFF2-40B4-BE49-F238E27FC236}">
              <a16:creationId xmlns:a16="http://schemas.microsoft.com/office/drawing/2014/main" xmlns="" id="{01879425-685C-45D4-B10C-21A731285ECA}"/>
            </a:ext>
          </a:extLst>
        </xdr:cNvPr>
        <xdr:cNvSpPr/>
      </xdr:nvSpPr>
      <xdr:spPr>
        <a:xfrm>
          <a:off x="8520955" y="1074408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106242</xdr:colOff>
      <xdr:row>71</xdr:row>
      <xdr:rowOff>203690</xdr:rowOff>
    </xdr:from>
    <xdr:to>
      <xdr:col>6</xdr:col>
      <xdr:colOff>973017</xdr:colOff>
      <xdr:row>71</xdr:row>
      <xdr:rowOff>279890</xdr:rowOff>
    </xdr:to>
    <xdr:sp macro="" textlink="">
      <xdr:nvSpPr>
        <xdr:cNvPr id="9" name="Retângulo de cantos arredondados 51">
          <a:extLst>
            <a:ext uri="{FF2B5EF4-FFF2-40B4-BE49-F238E27FC236}">
              <a16:creationId xmlns:a16="http://schemas.microsoft.com/office/drawing/2014/main" xmlns="" id="{4CF1AF0F-7430-4619-8DB1-3C8FB0CECF18}"/>
            </a:ext>
          </a:extLst>
        </xdr:cNvPr>
        <xdr:cNvSpPr/>
      </xdr:nvSpPr>
      <xdr:spPr>
        <a:xfrm>
          <a:off x="8506171" y="1210657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97450</xdr:colOff>
      <xdr:row>73</xdr:row>
      <xdr:rowOff>216878</xdr:rowOff>
    </xdr:from>
    <xdr:to>
      <xdr:col>6</xdr:col>
      <xdr:colOff>964225</xdr:colOff>
      <xdr:row>73</xdr:row>
      <xdr:rowOff>293078</xdr:rowOff>
    </xdr:to>
    <xdr:sp macro="" textlink="">
      <xdr:nvSpPr>
        <xdr:cNvPr id="10" name="Retângulo de cantos arredondados 52">
          <a:extLst>
            <a:ext uri="{FF2B5EF4-FFF2-40B4-BE49-F238E27FC236}">
              <a16:creationId xmlns:a16="http://schemas.microsoft.com/office/drawing/2014/main" xmlns="" id="{0196B7BB-F611-4ABA-B78E-54E8D9191EEE}"/>
            </a:ext>
          </a:extLst>
        </xdr:cNvPr>
        <xdr:cNvSpPr/>
      </xdr:nvSpPr>
      <xdr:spPr>
        <a:xfrm>
          <a:off x="8497379" y="1245280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103312</xdr:colOff>
      <xdr:row>75</xdr:row>
      <xdr:rowOff>200759</xdr:rowOff>
    </xdr:from>
    <xdr:to>
      <xdr:col>6</xdr:col>
      <xdr:colOff>970087</xdr:colOff>
      <xdr:row>75</xdr:row>
      <xdr:rowOff>276959</xdr:rowOff>
    </xdr:to>
    <xdr:sp macro="" textlink="">
      <xdr:nvSpPr>
        <xdr:cNvPr id="11" name="Retângulo de cantos arredondados 53">
          <a:extLst>
            <a:ext uri="{FF2B5EF4-FFF2-40B4-BE49-F238E27FC236}">
              <a16:creationId xmlns:a16="http://schemas.microsoft.com/office/drawing/2014/main" xmlns="" id="{6FA23411-BB9B-4DA4-B50E-2F64EC4C4B8A}"/>
            </a:ext>
          </a:extLst>
        </xdr:cNvPr>
        <xdr:cNvSpPr/>
      </xdr:nvSpPr>
      <xdr:spPr>
        <a:xfrm>
          <a:off x="8503241" y="1279258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106242</xdr:colOff>
      <xdr:row>82</xdr:row>
      <xdr:rowOff>181279</xdr:rowOff>
    </xdr:from>
    <xdr:to>
      <xdr:col>6</xdr:col>
      <xdr:colOff>973017</xdr:colOff>
      <xdr:row>82</xdr:row>
      <xdr:rowOff>257479</xdr:rowOff>
    </xdr:to>
    <xdr:sp macro="" textlink="">
      <xdr:nvSpPr>
        <xdr:cNvPr id="12" name="Retângulo de cantos arredondados 54">
          <a:extLst>
            <a:ext uri="{FF2B5EF4-FFF2-40B4-BE49-F238E27FC236}">
              <a16:creationId xmlns:a16="http://schemas.microsoft.com/office/drawing/2014/main" xmlns="" id="{DFAE05B0-27C5-46D8-96D9-ED321934755D}"/>
            </a:ext>
          </a:extLst>
        </xdr:cNvPr>
        <xdr:cNvSpPr/>
      </xdr:nvSpPr>
      <xdr:spPr>
        <a:xfrm>
          <a:off x="8506171" y="1398065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97450</xdr:colOff>
      <xdr:row>84</xdr:row>
      <xdr:rowOff>216878</xdr:rowOff>
    </xdr:from>
    <xdr:to>
      <xdr:col>6</xdr:col>
      <xdr:colOff>964225</xdr:colOff>
      <xdr:row>84</xdr:row>
      <xdr:rowOff>293078</xdr:rowOff>
    </xdr:to>
    <xdr:sp macro="" textlink="">
      <xdr:nvSpPr>
        <xdr:cNvPr id="13" name="Retângulo de cantos arredondados 55">
          <a:extLst>
            <a:ext uri="{FF2B5EF4-FFF2-40B4-BE49-F238E27FC236}">
              <a16:creationId xmlns:a16="http://schemas.microsoft.com/office/drawing/2014/main" xmlns="" id="{682FBD5C-CDF8-408A-8150-D18D44E81749}"/>
            </a:ext>
          </a:extLst>
        </xdr:cNvPr>
        <xdr:cNvSpPr/>
      </xdr:nvSpPr>
      <xdr:spPr>
        <a:xfrm>
          <a:off x="8497379" y="1432642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103312</xdr:colOff>
      <xdr:row>86</xdr:row>
      <xdr:rowOff>200759</xdr:rowOff>
    </xdr:from>
    <xdr:to>
      <xdr:col>6</xdr:col>
      <xdr:colOff>970087</xdr:colOff>
      <xdr:row>86</xdr:row>
      <xdr:rowOff>276959</xdr:rowOff>
    </xdr:to>
    <xdr:sp macro="" textlink="">
      <xdr:nvSpPr>
        <xdr:cNvPr id="19" name="Retângulo de cantos arredondados 56">
          <a:extLst>
            <a:ext uri="{FF2B5EF4-FFF2-40B4-BE49-F238E27FC236}">
              <a16:creationId xmlns:a16="http://schemas.microsoft.com/office/drawing/2014/main" xmlns="" id="{37BA7C6C-0BEB-4C0C-80C8-20CA1790DFA3}"/>
            </a:ext>
          </a:extLst>
        </xdr:cNvPr>
        <xdr:cNvSpPr/>
      </xdr:nvSpPr>
      <xdr:spPr>
        <a:xfrm>
          <a:off x="8503241" y="1466620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100296</xdr:colOff>
      <xdr:row>78</xdr:row>
      <xdr:rowOff>180975</xdr:rowOff>
    </xdr:from>
    <xdr:to>
      <xdr:col>6</xdr:col>
      <xdr:colOff>967071</xdr:colOff>
      <xdr:row>78</xdr:row>
      <xdr:rowOff>257175</xdr:rowOff>
    </xdr:to>
    <xdr:sp macro="" textlink="">
      <xdr:nvSpPr>
        <xdr:cNvPr id="20" name="Retângulo de cantos arredondados 57">
          <a:extLst>
            <a:ext uri="{FF2B5EF4-FFF2-40B4-BE49-F238E27FC236}">
              <a16:creationId xmlns:a16="http://schemas.microsoft.com/office/drawing/2014/main" xmlns="" id="{83026269-C89A-498C-8C25-FF0E6A5B7B08}"/>
            </a:ext>
          </a:extLst>
        </xdr:cNvPr>
        <xdr:cNvSpPr/>
      </xdr:nvSpPr>
      <xdr:spPr>
        <a:xfrm>
          <a:off x="8500225" y="1329902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109821</xdr:colOff>
      <xdr:row>80</xdr:row>
      <xdr:rowOff>180975</xdr:rowOff>
    </xdr:from>
    <xdr:to>
      <xdr:col>6</xdr:col>
      <xdr:colOff>976596</xdr:colOff>
      <xdr:row>80</xdr:row>
      <xdr:rowOff>257175</xdr:rowOff>
    </xdr:to>
    <xdr:sp macro="" textlink="">
      <xdr:nvSpPr>
        <xdr:cNvPr id="21" name="Retângulo de cantos arredondados 58">
          <a:extLst>
            <a:ext uri="{FF2B5EF4-FFF2-40B4-BE49-F238E27FC236}">
              <a16:creationId xmlns:a16="http://schemas.microsoft.com/office/drawing/2014/main" xmlns="" id="{188D31C5-9463-4B0D-BBE9-8DBBD0EC3350}"/>
            </a:ext>
          </a:extLst>
        </xdr:cNvPr>
        <xdr:cNvSpPr/>
      </xdr:nvSpPr>
      <xdr:spPr>
        <a:xfrm>
          <a:off x="8509750" y="1363968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106242</xdr:colOff>
      <xdr:row>88</xdr:row>
      <xdr:rowOff>203690</xdr:rowOff>
    </xdr:from>
    <xdr:to>
      <xdr:col>6</xdr:col>
      <xdr:colOff>973017</xdr:colOff>
      <xdr:row>88</xdr:row>
      <xdr:rowOff>279890</xdr:rowOff>
    </xdr:to>
    <xdr:sp macro="" textlink="">
      <xdr:nvSpPr>
        <xdr:cNvPr id="22" name="Retângulo de cantos arredondados 59">
          <a:extLst>
            <a:ext uri="{FF2B5EF4-FFF2-40B4-BE49-F238E27FC236}">
              <a16:creationId xmlns:a16="http://schemas.microsoft.com/office/drawing/2014/main" xmlns="" id="{6943F0DA-8E70-4E76-A1CC-9C0E650AA56B}"/>
            </a:ext>
          </a:extLst>
        </xdr:cNvPr>
        <xdr:cNvSpPr/>
      </xdr:nvSpPr>
      <xdr:spPr>
        <a:xfrm>
          <a:off x="8506171" y="1500217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97450</xdr:colOff>
      <xdr:row>90</xdr:row>
      <xdr:rowOff>216878</xdr:rowOff>
    </xdr:from>
    <xdr:to>
      <xdr:col>6</xdr:col>
      <xdr:colOff>964225</xdr:colOff>
      <xdr:row>90</xdr:row>
      <xdr:rowOff>293078</xdr:rowOff>
    </xdr:to>
    <xdr:sp macro="" textlink="">
      <xdr:nvSpPr>
        <xdr:cNvPr id="23" name="Retângulo de cantos arredondados 60">
          <a:extLst>
            <a:ext uri="{FF2B5EF4-FFF2-40B4-BE49-F238E27FC236}">
              <a16:creationId xmlns:a16="http://schemas.microsoft.com/office/drawing/2014/main" xmlns="" id="{775DBB8A-2BCF-4AED-B66A-24E63254FD3F}"/>
            </a:ext>
          </a:extLst>
        </xdr:cNvPr>
        <xdr:cNvSpPr/>
      </xdr:nvSpPr>
      <xdr:spPr>
        <a:xfrm>
          <a:off x="8497379" y="1534840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103312</xdr:colOff>
      <xdr:row>92</xdr:row>
      <xdr:rowOff>200759</xdr:rowOff>
    </xdr:from>
    <xdr:to>
      <xdr:col>6</xdr:col>
      <xdr:colOff>970087</xdr:colOff>
      <xdr:row>92</xdr:row>
      <xdr:rowOff>276959</xdr:rowOff>
    </xdr:to>
    <xdr:sp macro="" textlink="">
      <xdr:nvSpPr>
        <xdr:cNvPr id="53" name="Retângulo de cantos arredondados 61">
          <a:extLst>
            <a:ext uri="{FF2B5EF4-FFF2-40B4-BE49-F238E27FC236}">
              <a16:creationId xmlns:a16="http://schemas.microsoft.com/office/drawing/2014/main" xmlns="" id="{10ACAF61-B357-40CE-BDD9-02FD08BACD9D}"/>
            </a:ext>
          </a:extLst>
        </xdr:cNvPr>
        <xdr:cNvSpPr/>
      </xdr:nvSpPr>
      <xdr:spPr>
        <a:xfrm>
          <a:off x="8503241" y="1568818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103312</xdr:colOff>
      <xdr:row>94</xdr:row>
      <xdr:rowOff>200759</xdr:rowOff>
    </xdr:from>
    <xdr:to>
      <xdr:col>6</xdr:col>
      <xdr:colOff>970087</xdr:colOff>
      <xdr:row>94</xdr:row>
      <xdr:rowOff>276959</xdr:rowOff>
    </xdr:to>
    <xdr:sp macro="" textlink="">
      <xdr:nvSpPr>
        <xdr:cNvPr id="54" name="Retângulo de cantos arredondados 62">
          <a:extLst>
            <a:ext uri="{FF2B5EF4-FFF2-40B4-BE49-F238E27FC236}">
              <a16:creationId xmlns:a16="http://schemas.microsoft.com/office/drawing/2014/main" xmlns="" id="{12F184FC-7391-48B0-9FDF-BA815EB3475E}"/>
            </a:ext>
          </a:extLst>
        </xdr:cNvPr>
        <xdr:cNvSpPr/>
      </xdr:nvSpPr>
      <xdr:spPr>
        <a:xfrm>
          <a:off x="8503241" y="1602884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106242</xdr:colOff>
      <xdr:row>96</xdr:row>
      <xdr:rowOff>203690</xdr:rowOff>
    </xdr:from>
    <xdr:to>
      <xdr:col>6</xdr:col>
      <xdr:colOff>973017</xdr:colOff>
      <xdr:row>96</xdr:row>
      <xdr:rowOff>279890</xdr:rowOff>
    </xdr:to>
    <xdr:sp macro="" textlink="">
      <xdr:nvSpPr>
        <xdr:cNvPr id="55" name="Retângulo de cantos arredondados 63">
          <a:extLst>
            <a:ext uri="{FF2B5EF4-FFF2-40B4-BE49-F238E27FC236}">
              <a16:creationId xmlns:a16="http://schemas.microsoft.com/office/drawing/2014/main" xmlns="" id="{33717555-315F-42B9-B093-9CBC31D13C53}"/>
            </a:ext>
          </a:extLst>
        </xdr:cNvPr>
        <xdr:cNvSpPr/>
      </xdr:nvSpPr>
      <xdr:spPr>
        <a:xfrm>
          <a:off x="8506171" y="1636481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97450</xdr:colOff>
      <xdr:row>98</xdr:row>
      <xdr:rowOff>216878</xdr:rowOff>
    </xdr:from>
    <xdr:to>
      <xdr:col>6</xdr:col>
      <xdr:colOff>964225</xdr:colOff>
      <xdr:row>98</xdr:row>
      <xdr:rowOff>293078</xdr:rowOff>
    </xdr:to>
    <xdr:sp macro="" textlink="">
      <xdr:nvSpPr>
        <xdr:cNvPr id="56" name="Retângulo de cantos arredondados 64">
          <a:extLst>
            <a:ext uri="{FF2B5EF4-FFF2-40B4-BE49-F238E27FC236}">
              <a16:creationId xmlns:a16="http://schemas.microsoft.com/office/drawing/2014/main" xmlns="" id="{FDE42114-DFEA-44D8-9DF1-3B8EC279925D}"/>
            </a:ext>
          </a:extLst>
        </xdr:cNvPr>
        <xdr:cNvSpPr/>
      </xdr:nvSpPr>
      <xdr:spPr>
        <a:xfrm>
          <a:off x="8497379" y="1671104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103312</xdr:colOff>
      <xdr:row>100</xdr:row>
      <xdr:rowOff>200759</xdr:rowOff>
    </xdr:from>
    <xdr:to>
      <xdr:col>6</xdr:col>
      <xdr:colOff>970087</xdr:colOff>
      <xdr:row>100</xdr:row>
      <xdr:rowOff>276959</xdr:rowOff>
    </xdr:to>
    <xdr:sp macro="" textlink="">
      <xdr:nvSpPr>
        <xdr:cNvPr id="57" name="Retângulo de cantos arredondados 65">
          <a:extLst>
            <a:ext uri="{FF2B5EF4-FFF2-40B4-BE49-F238E27FC236}">
              <a16:creationId xmlns:a16="http://schemas.microsoft.com/office/drawing/2014/main" xmlns="" id="{8A58A99C-E1C7-4470-83F7-D54BF8E4EA78}"/>
            </a:ext>
          </a:extLst>
        </xdr:cNvPr>
        <xdr:cNvSpPr/>
      </xdr:nvSpPr>
      <xdr:spPr>
        <a:xfrm>
          <a:off x="8503241" y="1705082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100297</xdr:colOff>
      <xdr:row>108</xdr:row>
      <xdr:rowOff>180975</xdr:rowOff>
    </xdr:from>
    <xdr:to>
      <xdr:col>6</xdr:col>
      <xdr:colOff>967072</xdr:colOff>
      <xdr:row>108</xdr:row>
      <xdr:rowOff>257175</xdr:rowOff>
    </xdr:to>
    <xdr:sp macro="" textlink="">
      <xdr:nvSpPr>
        <xdr:cNvPr id="59" name="Retângulo de cantos arredondados 68">
          <a:extLst>
            <a:ext uri="{FF2B5EF4-FFF2-40B4-BE49-F238E27FC236}">
              <a16:creationId xmlns:a16="http://schemas.microsoft.com/office/drawing/2014/main" xmlns="" id="{F0EB45F8-E6D0-48D5-AB4A-F41849DAE97C}"/>
            </a:ext>
          </a:extLst>
        </xdr:cNvPr>
        <xdr:cNvSpPr/>
      </xdr:nvSpPr>
      <xdr:spPr>
        <a:xfrm>
          <a:off x="8500226" y="1840891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98614</xdr:colOff>
      <xdr:row>110</xdr:row>
      <xdr:rowOff>180975</xdr:rowOff>
    </xdr:from>
    <xdr:to>
      <xdr:col>7</xdr:col>
      <xdr:colOff>965389</xdr:colOff>
      <xdr:row>110</xdr:row>
      <xdr:rowOff>257175</xdr:rowOff>
    </xdr:to>
    <xdr:sp macro="" textlink="">
      <xdr:nvSpPr>
        <xdr:cNvPr id="62" name="Retângulo de cantos arredondados 69">
          <a:extLst>
            <a:ext uri="{FF2B5EF4-FFF2-40B4-BE49-F238E27FC236}">
              <a16:creationId xmlns:a16="http://schemas.microsoft.com/office/drawing/2014/main" xmlns="" id="{9F9CBC46-A337-4796-A8D5-73109470CA75}"/>
            </a:ext>
          </a:extLst>
        </xdr:cNvPr>
        <xdr:cNvSpPr/>
      </xdr:nvSpPr>
      <xdr:spPr>
        <a:xfrm>
          <a:off x="10067367" y="1874957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97452</xdr:colOff>
      <xdr:row>113</xdr:row>
      <xdr:rowOff>216878</xdr:rowOff>
    </xdr:from>
    <xdr:to>
      <xdr:col>7</xdr:col>
      <xdr:colOff>964227</xdr:colOff>
      <xdr:row>113</xdr:row>
      <xdr:rowOff>293078</xdr:rowOff>
    </xdr:to>
    <xdr:sp macro="" textlink="">
      <xdr:nvSpPr>
        <xdr:cNvPr id="63" name="Retângulo de cantos arredondados 70">
          <a:extLst>
            <a:ext uri="{FF2B5EF4-FFF2-40B4-BE49-F238E27FC236}">
              <a16:creationId xmlns:a16="http://schemas.microsoft.com/office/drawing/2014/main" xmlns="" id="{D22B58C3-FBC7-439C-92E4-1BCEE32B99C1}"/>
            </a:ext>
          </a:extLst>
        </xdr:cNvPr>
        <xdr:cNvSpPr/>
      </xdr:nvSpPr>
      <xdr:spPr>
        <a:xfrm>
          <a:off x="10066205" y="19265982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103314</xdr:colOff>
      <xdr:row>115</xdr:row>
      <xdr:rowOff>200759</xdr:rowOff>
    </xdr:from>
    <xdr:to>
      <xdr:col>7</xdr:col>
      <xdr:colOff>970089</xdr:colOff>
      <xdr:row>115</xdr:row>
      <xdr:rowOff>276959</xdr:rowOff>
    </xdr:to>
    <xdr:sp macro="" textlink="">
      <xdr:nvSpPr>
        <xdr:cNvPr id="74" name="Retângulo de cantos arredondados 71">
          <a:extLst>
            <a:ext uri="{FF2B5EF4-FFF2-40B4-BE49-F238E27FC236}">
              <a16:creationId xmlns:a16="http://schemas.microsoft.com/office/drawing/2014/main" xmlns="" id="{E7EBC9D1-61DE-4754-8319-80A3E3953700}"/>
            </a:ext>
          </a:extLst>
        </xdr:cNvPr>
        <xdr:cNvSpPr/>
      </xdr:nvSpPr>
      <xdr:spPr>
        <a:xfrm>
          <a:off x="10072067" y="1960576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106244</xdr:colOff>
      <xdr:row>117</xdr:row>
      <xdr:rowOff>203690</xdr:rowOff>
    </xdr:from>
    <xdr:to>
      <xdr:col>7</xdr:col>
      <xdr:colOff>973019</xdr:colOff>
      <xdr:row>117</xdr:row>
      <xdr:rowOff>279890</xdr:rowOff>
    </xdr:to>
    <xdr:sp macro="" textlink="">
      <xdr:nvSpPr>
        <xdr:cNvPr id="75" name="Retângulo de cantos arredondados 72">
          <a:extLst>
            <a:ext uri="{FF2B5EF4-FFF2-40B4-BE49-F238E27FC236}">
              <a16:creationId xmlns:a16="http://schemas.microsoft.com/office/drawing/2014/main" xmlns="" id="{A87565B9-0815-43A1-B8D4-B4314C30E4B0}"/>
            </a:ext>
          </a:extLst>
        </xdr:cNvPr>
        <xdr:cNvSpPr/>
      </xdr:nvSpPr>
      <xdr:spPr>
        <a:xfrm>
          <a:off x="10074997" y="1994173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97452</xdr:colOff>
      <xdr:row>119</xdr:row>
      <xdr:rowOff>216878</xdr:rowOff>
    </xdr:from>
    <xdr:to>
      <xdr:col>7</xdr:col>
      <xdr:colOff>964227</xdr:colOff>
      <xdr:row>119</xdr:row>
      <xdr:rowOff>293078</xdr:rowOff>
    </xdr:to>
    <xdr:sp macro="" textlink="">
      <xdr:nvSpPr>
        <xdr:cNvPr id="76" name="Retângulo de cantos arredondados 73">
          <a:extLst>
            <a:ext uri="{FF2B5EF4-FFF2-40B4-BE49-F238E27FC236}">
              <a16:creationId xmlns:a16="http://schemas.microsoft.com/office/drawing/2014/main" xmlns="" id="{BD97E392-604E-4E03-B8EA-58FC2C5F59BA}"/>
            </a:ext>
          </a:extLst>
        </xdr:cNvPr>
        <xdr:cNvSpPr/>
      </xdr:nvSpPr>
      <xdr:spPr>
        <a:xfrm>
          <a:off x="10066205" y="2028795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103314</xdr:colOff>
      <xdr:row>121</xdr:row>
      <xdr:rowOff>200759</xdr:rowOff>
    </xdr:from>
    <xdr:to>
      <xdr:col>7</xdr:col>
      <xdr:colOff>970089</xdr:colOff>
      <xdr:row>121</xdr:row>
      <xdr:rowOff>276959</xdr:rowOff>
    </xdr:to>
    <xdr:sp macro="" textlink="">
      <xdr:nvSpPr>
        <xdr:cNvPr id="77" name="Retângulo de cantos arredondados 74">
          <a:extLst>
            <a:ext uri="{FF2B5EF4-FFF2-40B4-BE49-F238E27FC236}">
              <a16:creationId xmlns:a16="http://schemas.microsoft.com/office/drawing/2014/main" xmlns="" id="{255E5968-1E24-43D2-A069-20CB55CE0FF8}"/>
            </a:ext>
          </a:extLst>
        </xdr:cNvPr>
        <xdr:cNvSpPr/>
      </xdr:nvSpPr>
      <xdr:spPr>
        <a:xfrm>
          <a:off x="10072067" y="2062773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103314</xdr:colOff>
      <xdr:row>123</xdr:row>
      <xdr:rowOff>200759</xdr:rowOff>
    </xdr:from>
    <xdr:to>
      <xdr:col>7</xdr:col>
      <xdr:colOff>970089</xdr:colOff>
      <xdr:row>123</xdr:row>
      <xdr:rowOff>276959</xdr:rowOff>
    </xdr:to>
    <xdr:sp macro="" textlink="">
      <xdr:nvSpPr>
        <xdr:cNvPr id="78" name="Retângulo de cantos arredondados 75">
          <a:extLst>
            <a:ext uri="{FF2B5EF4-FFF2-40B4-BE49-F238E27FC236}">
              <a16:creationId xmlns:a16="http://schemas.microsoft.com/office/drawing/2014/main" xmlns="" id="{6D143940-BA99-47B6-BBA7-195954547909}"/>
            </a:ext>
          </a:extLst>
        </xdr:cNvPr>
        <xdr:cNvSpPr/>
      </xdr:nvSpPr>
      <xdr:spPr>
        <a:xfrm>
          <a:off x="10072067" y="2096839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106244</xdr:colOff>
      <xdr:row>125</xdr:row>
      <xdr:rowOff>203690</xdr:rowOff>
    </xdr:from>
    <xdr:to>
      <xdr:col>7</xdr:col>
      <xdr:colOff>973019</xdr:colOff>
      <xdr:row>125</xdr:row>
      <xdr:rowOff>279890</xdr:rowOff>
    </xdr:to>
    <xdr:sp macro="" textlink="">
      <xdr:nvSpPr>
        <xdr:cNvPr id="79" name="Retângulo de cantos arredondados 76">
          <a:extLst>
            <a:ext uri="{FF2B5EF4-FFF2-40B4-BE49-F238E27FC236}">
              <a16:creationId xmlns:a16="http://schemas.microsoft.com/office/drawing/2014/main" xmlns="" id="{A6C4E9B4-C96E-4BE0-8BD0-B4102CAD8D06}"/>
            </a:ext>
          </a:extLst>
        </xdr:cNvPr>
        <xdr:cNvSpPr/>
      </xdr:nvSpPr>
      <xdr:spPr>
        <a:xfrm>
          <a:off x="10074997" y="21304366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97452</xdr:colOff>
      <xdr:row>127</xdr:row>
      <xdr:rowOff>216878</xdr:rowOff>
    </xdr:from>
    <xdr:to>
      <xdr:col>7</xdr:col>
      <xdr:colOff>964227</xdr:colOff>
      <xdr:row>127</xdr:row>
      <xdr:rowOff>293078</xdr:rowOff>
    </xdr:to>
    <xdr:sp macro="" textlink="">
      <xdr:nvSpPr>
        <xdr:cNvPr id="80" name="Retângulo de cantos arredondados 77">
          <a:extLst>
            <a:ext uri="{FF2B5EF4-FFF2-40B4-BE49-F238E27FC236}">
              <a16:creationId xmlns:a16="http://schemas.microsoft.com/office/drawing/2014/main" xmlns="" id="{57FD0132-7F3D-4E18-81AC-D117CA53F741}"/>
            </a:ext>
          </a:extLst>
        </xdr:cNvPr>
        <xdr:cNvSpPr/>
      </xdr:nvSpPr>
      <xdr:spPr>
        <a:xfrm>
          <a:off x="10066205" y="21650593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105338</xdr:colOff>
      <xdr:row>110</xdr:row>
      <xdr:rowOff>176492</xdr:rowOff>
    </xdr:from>
    <xdr:to>
      <xdr:col>6</xdr:col>
      <xdr:colOff>972113</xdr:colOff>
      <xdr:row>110</xdr:row>
      <xdr:rowOff>252692</xdr:rowOff>
    </xdr:to>
    <xdr:sp macro="" textlink="">
      <xdr:nvSpPr>
        <xdr:cNvPr id="81" name="Retângulo de cantos arredondados 164">
          <a:extLst>
            <a:ext uri="{FF2B5EF4-FFF2-40B4-BE49-F238E27FC236}">
              <a16:creationId xmlns:a16="http://schemas.microsoft.com/office/drawing/2014/main" xmlns="" id="{13C513C8-26F0-45F1-B1C7-A51FF5649BF4}"/>
            </a:ext>
          </a:extLst>
        </xdr:cNvPr>
        <xdr:cNvSpPr/>
      </xdr:nvSpPr>
      <xdr:spPr>
        <a:xfrm>
          <a:off x="8505267" y="1875270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84614</xdr:colOff>
      <xdr:row>108</xdr:row>
      <xdr:rowOff>176491</xdr:rowOff>
    </xdr:from>
    <xdr:to>
      <xdr:col>7</xdr:col>
      <xdr:colOff>951389</xdr:colOff>
      <xdr:row>108</xdr:row>
      <xdr:rowOff>252691</xdr:rowOff>
    </xdr:to>
    <xdr:sp macro="" textlink="">
      <xdr:nvSpPr>
        <xdr:cNvPr id="82" name="Retângulo de cantos arredondados 165">
          <a:extLst>
            <a:ext uri="{FF2B5EF4-FFF2-40B4-BE49-F238E27FC236}">
              <a16:creationId xmlns:a16="http://schemas.microsoft.com/office/drawing/2014/main" xmlns="" id="{CC8445A6-C891-4A19-9274-820A03829A5E}"/>
            </a:ext>
          </a:extLst>
        </xdr:cNvPr>
        <xdr:cNvSpPr/>
      </xdr:nvSpPr>
      <xdr:spPr>
        <a:xfrm>
          <a:off x="10053367" y="1841204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104173</xdr:colOff>
      <xdr:row>113</xdr:row>
      <xdr:rowOff>212394</xdr:rowOff>
    </xdr:from>
    <xdr:to>
      <xdr:col>6</xdr:col>
      <xdr:colOff>970948</xdr:colOff>
      <xdr:row>113</xdr:row>
      <xdr:rowOff>288594</xdr:rowOff>
    </xdr:to>
    <xdr:sp macro="" textlink="">
      <xdr:nvSpPr>
        <xdr:cNvPr id="83" name="Retângulo de cantos arredondados 168">
          <a:extLst>
            <a:ext uri="{FF2B5EF4-FFF2-40B4-BE49-F238E27FC236}">
              <a16:creationId xmlns:a16="http://schemas.microsoft.com/office/drawing/2014/main" xmlns="" id="{28932336-25D1-4C14-AEAD-A19748622833}"/>
            </a:ext>
          </a:extLst>
        </xdr:cNvPr>
        <xdr:cNvSpPr/>
      </xdr:nvSpPr>
      <xdr:spPr>
        <a:xfrm>
          <a:off x="8504102" y="1926149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110035</xdr:colOff>
      <xdr:row>115</xdr:row>
      <xdr:rowOff>196275</xdr:rowOff>
    </xdr:from>
    <xdr:to>
      <xdr:col>6</xdr:col>
      <xdr:colOff>976810</xdr:colOff>
      <xdr:row>115</xdr:row>
      <xdr:rowOff>272475</xdr:rowOff>
    </xdr:to>
    <xdr:sp macro="" textlink="">
      <xdr:nvSpPr>
        <xdr:cNvPr id="84" name="Retângulo de cantos arredondados 169">
          <a:extLst>
            <a:ext uri="{FF2B5EF4-FFF2-40B4-BE49-F238E27FC236}">
              <a16:creationId xmlns:a16="http://schemas.microsoft.com/office/drawing/2014/main" xmlns="" id="{6FE927EC-B9C6-48CF-994C-8259B617FA15}"/>
            </a:ext>
          </a:extLst>
        </xdr:cNvPr>
        <xdr:cNvSpPr/>
      </xdr:nvSpPr>
      <xdr:spPr>
        <a:xfrm>
          <a:off x="8509964" y="1960127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112965</xdr:colOff>
      <xdr:row>117</xdr:row>
      <xdr:rowOff>199206</xdr:rowOff>
    </xdr:from>
    <xdr:to>
      <xdr:col>6</xdr:col>
      <xdr:colOff>979740</xdr:colOff>
      <xdr:row>117</xdr:row>
      <xdr:rowOff>275406</xdr:rowOff>
    </xdr:to>
    <xdr:sp macro="" textlink="">
      <xdr:nvSpPr>
        <xdr:cNvPr id="85" name="Retângulo de cantos arredondados 170">
          <a:extLst>
            <a:ext uri="{FF2B5EF4-FFF2-40B4-BE49-F238E27FC236}">
              <a16:creationId xmlns:a16="http://schemas.microsoft.com/office/drawing/2014/main" xmlns="" id="{CB63C59F-8FEC-44B9-A3BC-3E4580917EC8}"/>
            </a:ext>
          </a:extLst>
        </xdr:cNvPr>
        <xdr:cNvSpPr/>
      </xdr:nvSpPr>
      <xdr:spPr>
        <a:xfrm>
          <a:off x="8512894" y="1994486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104173</xdr:colOff>
      <xdr:row>119</xdr:row>
      <xdr:rowOff>212394</xdr:rowOff>
    </xdr:from>
    <xdr:to>
      <xdr:col>6</xdr:col>
      <xdr:colOff>970948</xdr:colOff>
      <xdr:row>119</xdr:row>
      <xdr:rowOff>288594</xdr:rowOff>
    </xdr:to>
    <xdr:sp macro="" textlink="">
      <xdr:nvSpPr>
        <xdr:cNvPr id="86" name="Retângulo de cantos arredondados 171">
          <a:extLst>
            <a:ext uri="{FF2B5EF4-FFF2-40B4-BE49-F238E27FC236}">
              <a16:creationId xmlns:a16="http://schemas.microsoft.com/office/drawing/2014/main" xmlns="" id="{DD1DC741-E897-4CAD-8532-66994C8CFE19}"/>
            </a:ext>
          </a:extLst>
        </xdr:cNvPr>
        <xdr:cNvSpPr/>
      </xdr:nvSpPr>
      <xdr:spPr>
        <a:xfrm>
          <a:off x="8504102" y="2028347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110035</xdr:colOff>
      <xdr:row>121</xdr:row>
      <xdr:rowOff>196275</xdr:rowOff>
    </xdr:from>
    <xdr:to>
      <xdr:col>6</xdr:col>
      <xdr:colOff>976810</xdr:colOff>
      <xdr:row>121</xdr:row>
      <xdr:rowOff>272475</xdr:rowOff>
    </xdr:to>
    <xdr:sp macro="" textlink="">
      <xdr:nvSpPr>
        <xdr:cNvPr id="87" name="Retângulo de cantos arredondados 172">
          <a:extLst>
            <a:ext uri="{FF2B5EF4-FFF2-40B4-BE49-F238E27FC236}">
              <a16:creationId xmlns:a16="http://schemas.microsoft.com/office/drawing/2014/main" xmlns="" id="{6A91E252-D7E3-4D20-94E8-F72C64423009}"/>
            </a:ext>
          </a:extLst>
        </xdr:cNvPr>
        <xdr:cNvSpPr/>
      </xdr:nvSpPr>
      <xdr:spPr>
        <a:xfrm>
          <a:off x="8509964" y="2062325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110035</xdr:colOff>
      <xdr:row>123</xdr:row>
      <xdr:rowOff>196275</xdr:rowOff>
    </xdr:from>
    <xdr:to>
      <xdr:col>6</xdr:col>
      <xdr:colOff>976810</xdr:colOff>
      <xdr:row>123</xdr:row>
      <xdr:rowOff>272475</xdr:rowOff>
    </xdr:to>
    <xdr:sp macro="" textlink="">
      <xdr:nvSpPr>
        <xdr:cNvPr id="88" name="Retângulo de cantos arredondados 173">
          <a:extLst>
            <a:ext uri="{FF2B5EF4-FFF2-40B4-BE49-F238E27FC236}">
              <a16:creationId xmlns:a16="http://schemas.microsoft.com/office/drawing/2014/main" xmlns="" id="{3E80284A-52BE-4193-B870-6E50A33F48FD}"/>
            </a:ext>
          </a:extLst>
        </xdr:cNvPr>
        <xdr:cNvSpPr/>
      </xdr:nvSpPr>
      <xdr:spPr>
        <a:xfrm>
          <a:off x="8509964" y="20963913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112965</xdr:colOff>
      <xdr:row>125</xdr:row>
      <xdr:rowOff>199206</xdr:rowOff>
    </xdr:from>
    <xdr:to>
      <xdr:col>6</xdr:col>
      <xdr:colOff>979740</xdr:colOff>
      <xdr:row>125</xdr:row>
      <xdr:rowOff>275406</xdr:rowOff>
    </xdr:to>
    <xdr:sp macro="" textlink="">
      <xdr:nvSpPr>
        <xdr:cNvPr id="89" name="Retângulo de cantos arredondados 174">
          <a:extLst>
            <a:ext uri="{FF2B5EF4-FFF2-40B4-BE49-F238E27FC236}">
              <a16:creationId xmlns:a16="http://schemas.microsoft.com/office/drawing/2014/main" xmlns="" id="{BFAAF20F-9E77-45FC-9171-02FAAD2A726B}"/>
            </a:ext>
          </a:extLst>
        </xdr:cNvPr>
        <xdr:cNvSpPr/>
      </xdr:nvSpPr>
      <xdr:spPr>
        <a:xfrm>
          <a:off x="8512894" y="21307502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104173</xdr:colOff>
      <xdr:row>127</xdr:row>
      <xdr:rowOff>212394</xdr:rowOff>
    </xdr:from>
    <xdr:to>
      <xdr:col>6</xdr:col>
      <xdr:colOff>970948</xdr:colOff>
      <xdr:row>127</xdr:row>
      <xdr:rowOff>288594</xdr:rowOff>
    </xdr:to>
    <xdr:sp macro="" textlink="">
      <xdr:nvSpPr>
        <xdr:cNvPr id="90" name="Retângulo de cantos arredondados 175">
          <a:extLst>
            <a:ext uri="{FF2B5EF4-FFF2-40B4-BE49-F238E27FC236}">
              <a16:creationId xmlns:a16="http://schemas.microsoft.com/office/drawing/2014/main" xmlns="" id="{24AA3566-0F66-464E-A541-4F2F673CED63}"/>
            </a:ext>
          </a:extLst>
        </xdr:cNvPr>
        <xdr:cNvSpPr/>
      </xdr:nvSpPr>
      <xdr:spPr>
        <a:xfrm>
          <a:off x="8504102" y="2164610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105339</xdr:colOff>
      <xdr:row>105</xdr:row>
      <xdr:rowOff>176491</xdr:rowOff>
    </xdr:from>
    <xdr:to>
      <xdr:col>6</xdr:col>
      <xdr:colOff>972114</xdr:colOff>
      <xdr:row>105</xdr:row>
      <xdr:rowOff>252691</xdr:rowOff>
    </xdr:to>
    <xdr:sp macro="" textlink="">
      <xdr:nvSpPr>
        <xdr:cNvPr id="91" name="Retângulo de cantos arredondados 180">
          <a:extLst>
            <a:ext uri="{FF2B5EF4-FFF2-40B4-BE49-F238E27FC236}">
              <a16:creationId xmlns:a16="http://schemas.microsoft.com/office/drawing/2014/main" xmlns="" id="{60E5B718-88F0-4224-9960-D285922D0231}"/>
            </a:ext>
          </a:extLst>
        </xdr:cNvPr>
        <xdr:cNvSpPr/>
      </xdr:nvSpPr>
      <xdr:spPr>
        <a:xfrm>
          <a:off x="8505268" y="1790105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112061</xdr:colOff>
      <xdr:row>103</xdr:row>
      <xdr:rowOff>183206</xdr:rowOff>
    </xdr:from>
    <xdr:to>
      <xdr:col>6</xdr:col>
      <xdr:colOff>978836</xdr:colOff>
      <xdr:row>103</xdr:row>
      <xdr:rowOff>259406</xdr:rowOff>
    </xdr:to>
    <xdr:sp macro="" textlink="">
      <xdr:nvSpPr>
        <xdr:cNvPr id="92" name="Retângulo de cantos arredondados 181">
          <a:extLst>
            <a:ext uri="{FF2B5EF4-FFF2-40B4-BE49-F238E27FC236}">
              <a16:creationId xmlns:a16="http://schemas.microsoft.com/office/drawing/2014/main" xmlns="" id="{CB36B687-7EF2-47E5-8120-BB2A7B6719EF}"/>
            </a:ext>
          </a:extLst>
        </xdr:cNvPr>
        <xdr:cNvSpPr/>
      </xdr:nvSpPr>
      <xdr:spPr>
        <a:xfrm>
          <a:off x="8511990" y="1755949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112107</xdr:colOff>
      <xdr:row>130</xdr:row>
      <xdr:rowOff>158263</xdr:rowOff>
    </xdr:from>
    <xdr:to>
      <xdr:col>8</xdr:col>
      <xdr:colOff>978882</xdr:colOff>
      <xdr:row>130</xdr:row>
      <xdr:rowOff>234463</xdr:rowOff>
    </xdr:to>
    <xdr:sp macro="" textlink="">
      <xdr:nvSpPr>
        <xdr:cNvPr id="58" name="Retângulo de cantos arredondados 36">
          <a:extLst>
            <a:ext uri="{FF2B5EF4-FFF2-40B4-BE49-F238E27FC236}">
              <a16:creationId xmlns:a16="http://schemas.microsoft.com/office/drawing/2014/main" xmlns="" id="{DBF6391D-6AE0-4A54-BC57-88FD5A18EE5C}"/>
            </a:ext>
          </a:extLst>
        </xdr:cNvPr>
        <xdr:cNvSpPr/>
      </xdr:nvSpPr>
      <xdr:spPr>
        <a:xfrm>
          <a:off x="10206366" y="22489345"/>
          <a:ext cx="866775" cy="762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103307</xdr:colOff>
      <xdr:row>132</xdr:row>
      <xdr:rowOff>171452</xdr:rowOff>
    </xdr:from>
    <xdr:to>
      <xdr:col>8</xdr:col>
      <xdr:colOff>970082</xdr:colOff>
      <xdr:row>132</xdr:row>
      <xdr:rowOff>247652</xdr:rowOff>
    </xdr:to>
    <xdr:sp macro="" textlink="">
      <xdr:nvSpPr>
        <xdr:cNvPr id="94" name="Retângulo de cantos arredondados 37">
          <a:extLst>
            <a:ext uri="{FF2B5EF4-FFF2-40B4-BE49-F238E27FC236}">
              <a16:creationId xmlns:a16="http://schemas.microsoft.com/office/drawing/2014/main" xmlns="" id="{786DD2E4-97A6-4351-98B4-061721B414A3}"/>
            </a:ext>
          </a:extLst>
        </xdr:cNvPr>
        <xdr:cNvSpPr/>
      </xdr:nvSpPr>
      <xdr:spPr>
        <a:xfrm>
          <a:off x="10197566" y="22835573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98614</xdr:colOff>
      <xdr:row>110</xdr:row>
      <xdr:rowOff>180975</xdr:rowOff>
    </xdr:from>
    <xdr:to>
      <xdr:col>8</xdr:col>
      <xdr:colOff>965389</xdr:colOff>
      <xdr:row>110</xdr:row>
      <xdr:rowOff>257175</xdr:rowOff>
    </xdr:to>
    <xdr:sp macro="" textlink="">
      <xdr:nvSpPr>
        <xdr:cNvPr id="95" name="Retângulo de cantos arredondados 69">
          <a:extLst>
            <a:ext uri="{FF2B5EF4-FFF2-40B4-BE49-F238E27FC236}">
              <a16:creationId xmlns:a16="http://schemas.microsoft.com/office/drawing/2014/main" xmlns="" id="{4E196F16-76CD-4BD8-9DCA-28B860B6C837}"/>
            </a:ext>
          </a:extLst>
        </xdr:cNvPr>
        <xdr:cNvSpPr/>
      </xdr:nvSpPr>
      <xdr:spPr>
        <a:xfrm>
          <a:off x="10192873" y="1909022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97452</xdr:colOff>
      <xdr:row>113</xdr:row>
      <xdr:rowOff>216878</xdr:rowOff>
    </xdr:from>
    <xdr:to>
      <xdr:col>8</xdr:col>
      <xdr:colOff>964227</xdr:colOff>
      <xdr:row>113</xdr:row>
      <xdr:rowOff>293078</xdr:rowOff>
    </xdr:to>
    <xdr:sp macro="" textlink="">
      <xdr:nvSpPr>
        <xdr:cNvPr id="96" name="Retângulo de cantos arredondados 70">
          <a:extLst>
            <a:ext uri="{FF2B5EF4-FFF2-40B4-BE49-F238E27FC236}">
              <a16:creationId xmlns:a16="http://schemas.microsoft.com/office/drawing/2014/main" xmlns="" id="{078CE8D5-A146-4038-B826-74BEBAED064D}"/>
            </a:ext>
          </a:extLst>
        </xdr:cNvPr>
        <xdr:cNvSpPr/>
      </xdr:nvSpPr>
      <xdr:spPr>
        <a:xfrm>
          <a:off x="10191711" y="1960664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103314</xdr:colOff>
      <xdr:row>115</xdr:row>
      <xdr:rowOff>200759</xdr:rowOff>
    </xdr:from>
    <xdr:to>
      <xdr:col>8</xdr:col>
      <xdr:colOff>970089</xdr:colOff>
      <xdr:row>115</xdr:row>
      <xdr:rowOff>276959</xdr:rowOff>
    </xdr:to>
    <xdr:sp macro="" textlink="">
      <xdr:nvSpPr>
        <xdr:cNvPr id="97" name="Retângulo de cantos arredondados 71">
          <a:extLst>
            <a:ext uri="{FF2B5EF4-FFF2-40B4-BE49-F238E27FC236}">
              <a16:creationId xmlns:a16="http://schemas.microsoft.com/office/drawing/2014/main" xmlns="" id="{15D3D76B-5F33-4C76-8BBC-DF65929A2D2B}"/>
            </a:ext>
          </a:extLst>
        </xdr:cNvPr>
        <xdr:cNvSpPr/>
      </xdr:nvSpPr>
      <xdr:spPr>
        <a:xfrm>
          <a:off x="10197573" y="1994642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106244</xdr:colOff>
      <xdr:row>117</xdr:row>
      <xdr:rowOff>203690</xdr:rowOff>
    </xdr:from>
    <xdr:to>
      <xdr:col>8</xdr:col>
      <xdr:colOff>973019</xdr:colOff>
      <xdr:row>117</xdr:row>
      <xdr:rowOff>279890</xdr:rowOff>
    </xdr:to>
    <xdr:sp macro="" textlink="">
      <xdr:nvSpPr>
        <xdr:cNvPr id="98" name="Retângulo de cantos arredondados 72">
          <a:extLst>
            <a:ext uri="{FF2B5EF4-FFF2-40B4-BE49-F238E27FC236}">
              <a16:creationId xmlns:a16="http://schemas.microsoft.com/office/drawing/2014/main" xmlns="" id="{B4217C96-7240-4E63-9F70-46C507A3344C}"/>
            </a:ext>
          </a:extLst>
        </xdr:cNvPr>
        <xdr:cNvSpPr/>
      </xdr:nvSpPr>
      <xdr:spPr>
        <a:xfrm>
          <a:off x="10200503" y="2028239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97452</xdr:colOff>
      <xdr:row>119</xdr:row>
      <xdr:rowOff>216878</xdr:rowOff>
    </xdr:from>
    <xdr:to>
      <xdr:col>8</xdr:col>
      <xdr:colOff>964227</xdr:colOff>
      <xdr:row>119</xdr:row>
      <xdr:rowOff>293078</xdr:rowOff>
    </xdr:to>
    <xdr:sp macro="" textlink="">
      <xdr:nvSpPr>
        <xdr:cNvPr id="99" name="Retângulo de cantos arredondados 73">
          <a:extLst>
            <a:ext uri="{FF2B5EF4-FFF2-40B4-BE49-F238E27FC236}">
              <a16:creationId xmlns:a16="http://schemas.microsoft.com/office/drawing/2014/main" xmlns="" id="{03D4AA07-54E1-46A9-9D81-169C226F6416}"/>
            </a:ext>
          </a:extLst>
        </xdr:cNvPr>
        <xdr:cNvSpPr/>
      </xdr:nvSpPr>
      <xdr:spPr>
        <a:xfrm>
          <a:off x="10191711" y="2062861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103314</xdr:colOff>
      <xdr:row>121</xdr:row>
      <xdr:rowOff>200759</xdr:rowOff>
    </xdr:from>
    <xdr:to>
      <xdr:col>8</xdr:col>
      <xdr:colOff>970089</xdr:colOff>
      <xdr:row>121</xdr:row>
      <xdr:rowOff>276959</xdr:rowOff>
    </xdr:to>
    <xdr:sp macro="" textlink="">
      <xdr:nvSpPr>
        <xdr:cNvPr id="100" name="Retângulo de cantos arredondados 74">
          <a:extLst>
            <a:ext uri="{FF2B5EF4-FFF2-40B4-BE49-F238E27FC236}">
              <a16:creationId xmlns:a16="http://schemas.microsoft.com/office/drawing/2014/main" xmlns="" id="{FF6980EA-E653-4E9D-A965-75AD304DDBA3}"/>
            </a:ext>
          </a:extLst>
        </xdr:cNvPr>
        <xdr:cNvSpPr/>
      </xdr:nvSpPr>
      <xdr:spPr>
        <a:xfrm>
          <a:off x="10197573" y="2096839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103314</xdr:colOff>
      <xdr:row>123</xdr:row>
      <xdr:rowOff>200759</xdr:rowOff>
    </xdr:from>
    <xdr:to>
      <xdr:col>8</xdr:col>
      <xdr:colOff>970089</xdr:colOff>
      <xdr:row>123</xdr:row>
      <xdr:rowOff>276959</xdr:rowOff>
    </xdr:to>
    <xdr:sp macro="" textlink="">
      <xdr:nvSpPr>
        <xdr:cNvPr id="101" name="Retângulo de cantos arredondados 75">
          <a:extLst>
            <a:ext uri="{FF2B5EF4-FFF2-40B4-BE49-F238E27FC236}">
              <a16:creationId xmlns:a16="http://schemas.microsoft.com/office/drawing/2014/main" xmlns="" id="{DB112022-3B20-4082-AAEB-C7BAABBFCC46}"/>
            </a:ext>
          </a:extLst>
        </xdr:cNvPr>
        <xdr:cNvSpPr/>
      </xdr:nvSpPr>
      <xdr:spPr>
        <a:xfrm>
          <a:off x="10197573" y="2130905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106244</xdr:colOff>
      <xdr:row>125</xdr:row>
      <xdr:rowOff>203690</xdr:rowOff>
    </xdr:from>
    <xdr:to>
      <xdr:col>8</xdr:col>
      <xdr:colOff>973019</xdr:colOff>
      <xdr:row>125</xdr:row>
      <xdr:rowOff>279890</xdr:rowOff>
    </xdr:to>
    <xdr:sp macro="" textlink="">
      <xdr:nvSpPr>
        <xdr:cNvPr id="102" name="Retângulo de cantos arredondados 76">
          <a:extLst>
            <a:ext uri="{FF2B5EF4-FFF2-40B4-BE49-F238E27FC236}">
              <a16:creationId xmlns:a16="http://schemas.microsoft.com/office/drawing/2014/main" xmlns="" id="{9E135AE3-6ED8-4C34-8215-552F5B42739C}"/>
            </a:ext>
          </a:extLst>
        </xdr:cNvPr>
        <xdr:cNvSpPr/>
      </xdr:nvSpPr>
      <xdr:spPr>
        <a:xfrm>
          <a:off x="10200503" y="2164502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97452</xdr:colOff>
      <xdr:row>127</xdr:row>
      <xdr:rowOff>216878</xdr:rowOff>
    </xdr:from>
    <xdr:to>
      <xdr:col>8</xdr:col>
      <xdr:colOff>964227</xdr:colOff>
      <xdr:row>127</xdr:row>
      <xdr:rowOff>293078</xdr:rowOff>
    </xdr:to>
    <xdr:sp macro="" textlink="">
      <xdr:nvSpPr>
        <xdr:cNvPr id="103" name="Retângulo de cantos arredondados 77">
          <a:extLst>
            <a:ext uri="{FF2B5EF4-FFF2-40B4-BE49-F238E27FC236}">
              <a16:creationId xmlns:a16="http://schemas.microsoft.com/office/drawing/2014/main" xmlns="" id="{9037B7F8-EAEB-418E-8147-31F6A4958BF6}"/>
            </a:ext>
          </a:extLst>
        </xdr:cNvPr>
        <xdr:cNvSpPr/>
      </xdr:nvSpPr>
      <xdr:spPr>
        <a:xfrm>
          <a:off x="10191711" y="21991252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84614</xdr:colOff>
      <xdr:row>108</xdr:row>
      <xdr:rowOff>176491</xdr:rowOff>
    </xdr:from>
    <xdr:to>
      <xdr:col>8</xdr:col>
      <xdr:colOff>951389</xdr:colOff>
      <xdr:row>108</xdr:row>
      <xdr:rowOff>252691</xdr:rowOff>
    </xdr:to>
    <xdr:sp macro="" textlink="">
      <xdr:nvSpPr>
        <xdr:cNvPr id="104" name="Retângulo de cantos arredondados 165">
          <a:extLst>
            <a:ext uri="{FF2B5EF4-FFF2-40B4-BE49-F238E27FC236}">
              <a16:creationId xmlns:a16="http://schemas.microsoft.com/office/drawing/2014/main" xmlns="" id="{C59717DE-E7D2-4AF6-8A2D-F79E23FB2112}"/>
            </a:ext>
          </a:extLst>
        </xdr:cNvPr>
        <xdr:cNvSpPr/>
      </xdr:nvSpPr>
      <xdr:spPr>
        <a:xfrm>
          <a:off x="10178873" y="18752706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106242</xdr:colOff>
      <xdr:row>65</xdr:row>
      <xdr:rowOff>203690</xdr:rowOff>
    </xdr:from>
    <xdr:to>
      <xdr:col>9</xdr:col>
      <xdr:colOff>973017</xdr:colOff>
      <xdr:row>65</xdr:row>
      <xdr:rowOff>279890</xdr:rowOff>
    </xdr:to>
    <xdr:sp macro="" textlink="">
      <xdr:nvSpPr>
        <xdr:cNvPr id="105" name="Retângulo de cantos arredondados 33">
          <a:extLst>
            <a:ext uri="{FF2B5EF4-FFF2-40B4-BE49-F238E27FC236}">
              <a16:creationId xmlns:a16="http://schemas.microsoft.com/office/drawing/2014/main" xmlns="" id="{4E4B7091-5145-440E-A05D-0504891E69D7}"/>
            </a:ext>
          </a:extLst>
        </xdr:cNvPr>
        <xdr:cNvSpPr/>
      </xdr:nvSpPr>
      <xdr:spPr>
        <a:xfrm>
          <a:off x="11733466" y="1142526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97450</xdr:colOff>
      <xdr:row>67</xdr:row>
      <xdr:rowOff>216878</xdr:rowOff>
    </xdr:from>
    <xdr:to>
      <xdr:col>9</xdr:col>
      <xdr:colOff>964225</xdr:colOff>
      <xdr:row>67</xdr:row>
      <xdr:rowOff>293078</xdr:rowOff>
    </xdr:to>
    <xdr:sp macro="" textlink="">
      <xdr:nvSpPr>
        <xdr:cNvPr id="106" name="Retângulo de cantos arredondados 34">
          <a:extLst>
            <a:ext uri="{FF2B5EF4-FFF2-40B4-BE49-F238E27FC236}">
              <a16:creationId xmlns:a16="http://schemas.microsoft.com/office/drawing/2014/main" xmlns="" id="{82A3C462-46D8-4BA5-A1F8-924BB7AB9822}"/>
            </a:ext>
          </a:extLst>
        </xdr:cNvPr>
        <xdr:cNvSpPr/>
      </xdr:nvSpPr>
      <xdr:spPr>
        <a:xfrm>
          <a:off x="11724674" y="1177148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103312</xdr:colOff>
      <xdr:row>69</xdr:row>
      <xdr:rowOff>200759</xdr:rowOff>
    </xdr:from>
    <xdr:to>
      <xdr:col>9</xdr:col>
      <xdr:colOff>970087</xdr:colOff>
      <xdr:row>69</xdr:row>
      <xdr:rowOff>276959</xdr:rowOff>
    </xdr:to>
    <xdr:sp macro="" textlink="">
      <xdr:nvSpPr>
        <xdr:cNvPr id="107" name="Retângulo de cantos arredondados 35">
          <a:extLst>
            <a:ext uri="{FF2B5EF4-FFF2-40B4-BE49-F238E27FC236}">
              <a16:creationId xmlns:a16="http://schemas.microsoft.com/office/drawing/2014/main" xmlns="" id="{F8685552-81AA-46BE-8DE9-BAB5CBD2DB22}"/>
            </a:ext>
          </a:extLst>
        </xdr:cNvPr>
        <xdr:cNvSpPr/>
      </xdr:nvSpPr>
      <xdr:spPr>
        <a:xfrm>
          <a:off x="11730536" y="1211126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112107</xdr:colOff>
      <xdr:row>130</xdr:row>
      <xdr:rowOff>158263</xdr:rowOff>
    </xdr:from>
    <xdr:to>
      <xdr:col>10</xdr:col>
      <xdr:colOff>978882</xdr:colOff>
      <xdr:row>130</xdr:row>
      <xdr:rowOff>234463</xdr:rowOff>
    </xdr:to>
    <xdr:sp macro="" textlink="">
      <xdr:nvSpPr>
        <xdr:cNvPr id="108" name="Retângulo de cantos arredondados 36">
          <a:extLst>
            <a:ext uri="{FF2B5EF4-FFF2-40B4-BE49-F238E27FC236}">
              <a16:creationId xmlns:a16="http://schemas.microsoft.com/office/drawing/2014/main" xmlns="" id="{6CD00ABE-9DD9-4677-AF78-56FFC1D6BB02}"/>
            </a:ext>
          </a:extLst>
        </xdr:cNvPr>
        <xdr:cNvSpPr/>
      </xdr:nvSpPr>
      <xdr:spPr>
        <a:xfrm>
          <a:off x="13308154" y="22489345"/>
          <a:ext cx="866775" cy="762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103307</xdr:colOff>
      <xdr:row>132</xdr:row>
      <xdr:rowOff>171452</xdr:rowOff>
    </xdr:from>
    <xdr:to>
      <xdr:col>10</xdr:col>
      <xdr:colOff>970082</xdr:colOff>
      <xdr:row>132</xdr:row>
      <xdr:rowOff>247652</xdr:rowOff>
    </xdr:to>
    <xdr:sp macro="" textlink="">
      <xdr:nvSpPr>
        <xdr:cNvPr id="109" name="Retângulo de cantos arredondados 37">
          <a:extLst>
            <a:ext uri="{FF2B5EF4-FFF2-40B4-BE49-F238E27FC236}">
              <a16:creationId xmlns:a16="http://schemas.microsoft.com/office/drawing/2014/main" xmlns="" id="{4810FC88-12CB-4156-A942-525BB73C0E18}"/>
            </a:ext>
          </a:extLst>
        </xdr:cNvPr>
        <xdr:cNvSpPr/>
      </xdr:nvSpPr>
      <xdr:spPr>
        <a:xfrm>
          <a:off x="13299354" y="22835573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111501</xdr:colOff>
      <xdr:row>61</xdr:row>
      <xdr:rowOff>180975</xdr:rowOff>
    </xdr:from>
    <xdr:to>
      <xdr:col>9</xdr:col>
      <xdr:colOff>978276</xdr:colOff>
      <xdr:row>61</xdr:row>
      <xdr:rowOff>257175</xdr:rowOff>
    </xdr:to>
    <xdr:sp macro="" textlink="">
      <xdr:nvSpPr>
        <xdr:cNvPr id="110" name="Retângulo de cantos arredondados 49">
          <a:extLst>
            <a:ext uri="{FF2B5EF4-FFF2-40B4-BE49-F238E27FC236}">
              <a16:creationId xmlns:a16="http://schemas.microsoft.com/office/drawing/2014/main" xmlns="" id="{D906A301-0DA2-41F3-9992-CC4FFF60862E}"/>
            </a:ext>
          </a:extLst>
        </xdr:cNvPr>
        <xdr:cNvSpPr/>
      </xdr:nvSpPr>
      <xdr:spPr>
        <a:xfrm>
          <a:off x="11738725" y="1074408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121026</xdr:colOff>
      <xdr:row>63</xdr:row>
      <xdr:rowOff>180975</xdr:rowOff>
    </xdr:from>
    <xdr:to>
      <xdr:col>9</xdr:col>
      <xdr:colOff>987801</xdr:colOff>
      <xdr:row>63</xdr:row>
      <xdr:rowOff>257175</xdr:rowOff>
    </xdr:to>
    <xdr:sp macro="" textlink="">
      <xdr:nvSpPr>
        <xdr:cNvPr id="111" name="Retângulo de cantos arredondados 50">
          <a:extLst>
            <a:ext uri="{FF2B5EF4-FFF2-40B4-BE49-F238E27FC236}">
              <a16:creationId xmlns:a16="http://schemas.microsoft.com/office/drawing/2014/main" xmlns="" id="{E245D3F4-0FD7-442E-9EBF-DE44A9784C7B}"/>
            </a:ext>
          </a:extLst>
        </xdr:cNvPr>
        <xdr:cNvSpPr/>
      </xdr:nvSpPr>
      <xdr:spPr>
        <a:xfrm>
          <a:off x="11748250" y="1108474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106242</xdr:colOff>
      <xdr:row>71</xdr:row>
      <xdr:rowOff>203690</xdr:rowOff>
    </xdr:from>
    <xdr:to>
      <xdr:col>9</xdr:col>
      <xdr:colOff>973017</xdr:colOff>
      <xdr:row>71</xdr:row>
      <xdr:rowOff>279890</xdr:rowOff>
    </xdr:to>
    <xdr:sp macro="" textlink="">
      <xdr:nvSpPr>
        <xdr:cNvPr id="112" name="Retângulo de cantos arredondados 51">
          <a:extLst>
            <a:ext uri="{FF2B5EF4-FFF2-40B4-BE49-F238E27FC236}">
              <a16:creationId xmlns:a16="http://schemas.microsoft.com/office/drawing/2014/main" xmlns="" id="{284FAF06-0658-4421-A259-281EE20777AB}"/>
            </a:ext>
          </a:extLst>
        </xdr:cNvPr>
        <xdr:cNvSpPr/>
      </xdr:nvSpPr>
      <xdr:spPr>
        <a:xfrm>
          <a:off x="11733466" y="1244723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97450</xdr:colOff>
      <xdr:row>73</xdr:row>
      <xdr:rowOff>216878</xdr:rowOff>
    </xdr:from>
    <xdr:to>
      <xdr:col>9</xdr:col>
      <xdr:colOff>964225</xdr:colOff>
      <xdr:row>73</xdr:row>
      <xdr:rowOff>293078</xdr:rowOff>
    </xdr:to>
    <xdr:sp macro="" textlink="">
      <xdr:nvSpPr>
        <xdr:cNvPr id="113" name="Retângulo de cantos arredondados 52">
          <a:extLst>
            <a:ext uri="{FF2B5EF4-FFF2-40B4-BE49-F238E27FC236}">
              <a16:creationId xmlns:a16="http://schemas.microsoft.com/office/drawing/2014/main" xmlns="" id="{C37488F1-4D53-4AF5-8615-264E41E53AF8}"/>
            </a:ext>
          </a:extLst>
        </xdr:cNvPr>
        <xdr:cNvSpPr/>
      </xdr:nvSpPr>
      <xdr:spPr>
        <a:xfrm>
          <a:off x="11724674" y="1279346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103312</xdr:colOff>
      <xdr:row>75</xdr:row>
      <xdr:rowOff>200759</xdr:rowOff>
    </xdr:from>
    <xdr:to>
      <xdr:col>9</xdr:col>
      <xdr:colOff>970087</xdr:colOff>
      <xdr:row>75</xdr:row>
      <xdr:rowOff>276959</xdr:rowOff>
    </xdr:to>
    <xdr:sp macro="" textlink="">
      <xdr:nvSpPr>
        <xdr:cNvPr id="114" name="Retângulo de cantos arredondados 53">
          <a:extLst>
            <a:ext uri="{FF2B5EF4-FFF2-40B4-BE49-F238E27FC236}">
              <a16:creationId xmlns:a16="http://schemas.microsoft.com/office/drawing/2014/main" xmlns="" id="{85ED4F06-CDD7-4E9D-A019-CEFB701AB410}"/>
            </a:ext>
          </a:extLst>
        </xdr:cNvPr>
        <xdr:cNvSpPr/>
      </xdr:nvSpPr>
      <xdr:spPr>
        <a:xfrm>
          <a:off x="11730536" y="1313324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106242</xdr:colOff>
      <xdr:row>82</xdr:row>
      <xdr:rowOff>181279</xdr:rowOff>
    </xdr:from>
    <xdr:to>
      <xdr:col>9</xdr:col>
      <xdr:colOff>973017</xdr:colOff>
      <xdr:row>82</xdr:row>
      <xdr:rowOff>257479</xdr:rowOff>
    </xdr:to>
    <xdr:sp macro="" textlink="">
      <xdr:nvSpPr>
        <xdr:cNvPr id="115" name="Retângulo de cantos arredondados 54">
          <a:extLst>
            <a:ext uri="{FF2B5EF4-FFF2-40B4-BE49-F238E27FC236}">
              <a16:creationId xmlns:a16="http://schemas.microsoft.com/office/drawing/2014/main" xmlns="" id="{763D43B8-3A4E-4FC2-8B5B-E5549A1D92EF}"/>
            </a:ext>
          </a:extLst>
        </xdr:cNvPr>
        <xdr:cNvSpPr/>
      </xdr:nvSpPr>
      <xdr:spPr>
        <a:xfrm>
          <a:off x="11733466" y="1432131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97450</xdr:colOff>
      <xdr:row>84</xdr:row>
      <xdr:rowOff>216878</xdr:rowOff>
    </xdr:from>
    <xdr:to>
      <xdr:col>9</xdr:col>
      <xdr:colOff>964225</xdr:colOff>
      <xdr:row>84</xdr:row>
      <xdr:rowOff>293078</xdr:rowOff>
    </xdr:to>
    <xdr:sp macro="" textlink="">
      <xdr:nvSpPr>
        <xdr:cNvPr id="116" name="Retângulo de cantos arredondados 55">
          <a:extLst>
            <a:ext uri="{FF2B5EF4-FFF2-40B4-BE49-F238E27FC236}">
              <a16:creationId xmlns:a16="http://schemas.microsoft.com/office/drawing/2014/main" xmlns="" id="{3A7B0D87-7686-4BDC-857D-2B9EF0E83025}"/>
            </a:ext>
          </a:extLst>
        </xdr:cNvPr>
        <xdr:cNvSpPr/>
      </xdr:nvSpPr>
      <xdr:spPr>
        <a:xfrm>
          <a:off x="11724674" y="1466708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103312</xdr:colOff>
      <xdr:row>86</xdr:row>
      <xdr:rowOff>200759</xdr:rowOff>
    </xdr:from>
    <xdr:to>
      <xdr:col>9</xdr:col>
      <xdr:colOff>970087</xdr:colOff>
      <xdr:row>86</xdr:row>
      <xdr:rowOff>276959</xdr:rowOff>
    </xdr:to>
    <xdr:sp macro="" textlink="">
      <xdr:nvSpPr>
        <xdr:cNvPr id="117" name="Retângulo de cantos arredondados 56">
          <a:extLst>
            <a:ext uri="{FF2B5EF4-FFF2-40B4-BE49-F238E27FC236}">
              <a16:creationId xmlns:a16="http://schemas.microsoft.com/office/drawing/2014/main" xmlns="" id="{F9EA8793-B130-4450-BEC3-70BF405DB4A8}"/>
            </a:ext>
          </a:extLst>
        </xdr:cNvPr>
        <xdr:cNvSpPr/>
      </xdr:nvSpPr>
      <xdr:spPr>
        <a:xfrm>
          <a:off x="11730536" y="1500686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100296</xdr:colOff>
      <xdr:row>78</xdr:row>
      <xdr:rowOff>180975</xdr:rowOff>
    </xdr:from>
    <xdr:to>
      <xdr:col>9</xdr:col>
      <xdr:colOff>967071</xdr:colOff>
      <xdr:row>78</xdr:row>
      <xdr:rowOff>257175</xdr:rowOff>
    </xdr:to>
    <xdr:sp macro="" textlink="">
      <xdr:nvSpPr>
        <xdr:cNvPr id="118" name="Retângulo de cantos arredondados 57">
          <a:extLst>
            <a:ext uri="{FF2B5EF4-FFF2-40B4-BE49-F238E27FC236}">
              <a16:creationId xmlns:a16="http://schemas.microsoft.com/office/drawing/2014/main" xmlns="" id="{1DF95D92-CFA6-4514-AA0B-CD84BE44736F}"/>
            </a:ext>
          </a:extLst>
        </xdr:cNvPr>
        <xdr:cNvSpPr/>
      </xdr:nvSpPr>
      <xdr:spPr>
        <a:xfrm>
          <a:off x="11727520" y="1363968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109821</xdr:colOff>
      <xdr:row>80</xdr:row>
      <xdr:rowOff>180975</xdr:rowOff>
    </xdr:from>
    <xdr:to>
      <xdr:col>9</xdr:col>
      <xdr:colOff>976596</xdr:colOff>
      <xdr:row>80</xdr:row>
      <xdr:rowOff>257175</xdr:rowOff>
    </xdr:to>
    <xdr:sp macro="" textlink="">
      <xdr:nvSpPr>
        <xdr:cNvPr id="119" name="Retângulo de cantos arredondados 58">
          <a:extLst>
            <a:ext uri="{FF2B5EF4-FFF2-40B4-BE49-F238E27FC236}">
              <a16:creationId xmlns:a16="http://schemas.microsoft.com/office/drawing/2014/main" xmlns="" id="{A85008A4-7D83-4674-B68F-5F31684E2464}"/>
            </a:ext>
          </a:extLst>
        </xdr:cNvPr>
        <xdr:cNvSpPr/>
      </xdr:nvSpPr>
      <xdr:spPr>
        <a:xfrm>
          <a:off x="11737045" y="1398034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106242</xdr:colOff>
      <xdr:row>88</xdr:row>
      <xdr:rowOff>203690</xdr:rowOff>
    </xdr:from>
    <xdr:to>
      <xdr:col>9</xdr:col>
      <xdr:colOff>973017</xdr:colOff>
      <xdr:row>88</xdr:row>
      <xdr:rowOff>279890</xdr:rowOff>
    </xdr:to>
    <xdr:sp macro="" textlink="">
      <xdr:nvSpPr>
        <xdr:cNvPr id="120" name="Retângulo de cantos arredondados 59">
          <a:extLst>
            <a:ext uri="{FF2B5EF4-FFF2-40B4-BE49-F238E27FC236}">
              <a16:creationId xmlns:a16="http://schemas.microsoft.com/office/drawing/2014/main" xmlns="" id="{C139966B-80A5-48D1-B418-34CE81BE772C}"/>
            </a:ext>
          </a:extLst>
        </xdr:cNvPr>
        <xdr:cNvSpPr/>
      </xdr:nvSpPr>
      <xdr:spPr>
        <a:xfrm>
          <a:off x="11733466" y="1534283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97450</xdr:colOff>
      <xdr:row>90</xdr:row>
      <xdr:rowOff>216878</xdr:rowOff>
    </xdr:from>
    <xdr:to>
      <xdr:col>9</xdr:col>
      <xdr:colOff>964225</xdr:colOff>
      <xdr:row>90</xdr:row>
      <xdr:rowOff>293078</xdr:rowOff>
    </xdr:to>
    <xdr:sp macro="" textlink="">
      <xdr:nvSpPr>
        <xdr:cNvPr id="121" name="Retângulo de cantos arredondados 60">
          <a:extLst>
            <a:ext uri="{FF2B5EF4-FFF2-40B4-BE49-F238E27FC236}">
              <a16:creationId xmlns:a16="http://schemas.microsoft.com/office/drawing/2014/main" xmlns="" id="{E8683F27-8BF9-4D38-81B2-2EF743399D4C}"/>
            </a:ext>
          </a:extLst>
        </xdr:cNvPr>
        <xdr:cNvSpPr/>
      </xdr:nvSpPr>
      <xdr:spPr>
        <a:xfrm>
          <a:off x="11724674" y="1568906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103312</xdr:colOff>
      <xdr:row>92</xdr:row>
      <xdr:rowOff>200759</xdr:rowOff>
    </xdr:from>
    <xdr:to>
      <xdr:col>9</xdr:col>
      <xdr:colOff>970087</xdr:colOff>
      <xdr:row>92</xdr:row>
      <xdr:rowOff>276959</xdr:rowOff>
    </xdr:to>
    <xdr:sp macro="" textlink="">
      <xdr:nvSpPr>
        <xdr:cNvPr id="122" name="Retângulo de cantos arredondados 61">
          <a:extLst>
            <a:ext uri="{FF2B5EF4-FFF2-40B4-BE49-F238E27FC236}">
              <a16:creationId xmlns:a16="http://schemas.microsoft.com/office/drawing/2014/main" xmlns="" id="{F0C6ADE2-6FF5-405E-BB2E-EBF24A822CE6}"/>
            </a:ext>
          </a:extLst>
        </xdr:cNvPr>
        <xdr:cNvSpPr/>
      </xdr:nvSpPr>
      <xdr:spPr>
        <a:xfrm>
          <a:off x="11730536" y="1602884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103312</xdr:colOff>
      <xdr:row>94</xdr:row>
      <xdr:rowOff>200759</xdr:rowOff>
    </xdr:from>
    <xdr:to>
      <xdr:col>9</xdr:col>
      <xdr:colOff>970087</xdr:colOff>
      <xdr:row>94</xdr:row>
      <xdr:rowOff>276959</xdr:rowOff>
    </xdr:to>
    <xdr:sp macro="" textlink="">
      <xdr:nvSpPr>
        <xdr:cNvPr id="123" name="Retângulo de cantos arredondados 62">
          <a:extLst>
            <a:ext uri="{FF2B5EF4-FFF2-40B4-BE49-F238E27FC236}">
              <a16:creationId xmlns:a16="http://schemas.microsoft.com/office/drawing/2014/main" xmlns="" id="{D9E44047-8A72-466B-86B7-F2C06168E202}"/>
            </a:ext>
          </a:extLst>
        </xdr:cNvPr>
        <xdr:cNvSpPr/>
      </xdr:nvSpPr>
      <xdr:spPr>
        <a:xfrm>
          <a:off x="11730536" y="16369503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106242</xdr:colOff>
      <xdr:row>96</xdr:row>
      <xdr:rowOff>203690</xdr:rowOff>
    </xdr:from>
    <xdr:to>
      <xdr:col>9</xdr:col>
      <xdr:colOff>973017</xdr:colOff>
      <xdr:row>96</xdr:row>
      <xdr:rowOff>279890</xdr:rowOff>
    </xdr:to>
    <xdr:sp macro="" textlink="">
      <xdr:nvSpPr>
        <xdr:cNvPr id="124" name="Retângulo de cantos arredondados 63">
          <a:extLst>
            <a:ext uri="{FF2B5EF4-FFF2-40B4-BE49-F238E27FC236}">
              <a16:creationId xmlns:a16="http://schemas.microsoft.com/office/drawing/2014/main" xmlns="" id="{9E43B4B6-9E4D-46DA-90A6-B3A00B0543E1}"/>
            </a:ext>
          </a:extLst>
        </xdr:cNvPr>
        <xdr:cNvSpPr/>
      </xdr:nvSpPr>
      <xdr:spPr>
        <a:xfrm>
          <a:off x="11733466" y="16705472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97450</xdr:colOff>
      <xdr:row>98</xdr:row>
      <xdr:rowOff>216878</xdr:rowOff>
    </xdr:from>
    <xdr:to>
      <xdr:col>9</xdr:col>
      <xdr:colOff>964225</xdr:colOff>
      <xdr:row>98</xdr:row>
      <xdr:rowOff>293078</xdr:rowOff>
    </xdr:to>
    <xdr:sp macro="" textlink="">
      <xdr:nvSpPr>
        <xdr:cNvPr id="125" name="Retângulo de cantos arredondados 64">
          <a:extLst>
            <a:ext uri="{FF2B5EF4-FFF2-40B4-BE49-F238E27FC236}">
              <a16:creationId xmlns:a16="http://schemas.microsoft.com/office/drawing/2014/main" xmlns="" id="{09D22E85-1FA7-4DFE-9228-38FD5CF0CE28}"/>
            </a:ext>
          </a:extLst>
        </xdr:cNvPr>
        <xdr:cNvSpPr/>
      </xdr:nvSpPr>
      <xdr:spPr>
        <a:xfrm>
          <a:off x="11724674" y="1705169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103312</xdr:colOff>
      <xdr:row>100</xdr:row>
      <xdr:rowOff>200759</xdr:rowOff>
    </xdr:from>
    <xdr:to>
      <xdr:col>9</xdr:col>
      <xdr:colOff>970087</xdr:colOff>
      <xdr:row>100</xdr:row>
      <xdr:rowOff>276959</xdr:rowOff>
    </xdr:to>
    <xdr:sp macro="" textlink="">
      <xdr:nvSpPr>
        <xdr:cNvPr id="126" name="Retângulo de cantos arredondados 65">
          <a:extLst>
            <a:ext uri="{FF2B5EF4-FFF2-40B4-BE49-F238E27FC236}">
              <a16:creationId xmlns:a16="http://schemas.microsoft.com/office/drawing/2014/main" xmlns="" id="{75089FE8-3650-453F-9CF6-F15B7EC12E5C}"/>
            </a:ext>
          </a:extLst>
        </xdr:cNvPr>
        <xdr:cNvSpPr/>
      </xdr:nvSpPr>
      <xdr:spPr>
        <a:xfrm>
          <a:off x="11730536" y="1739147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100297</xdr:colOff>
      <xdr:row>108</xdr:row>
      <xdr:rowOff>180975</xdr:rowOff>
    </xdr:from>
    <xdr:to>
      <xdr:col>9</xdr:col>
      <xdr:colOff>967072</xdr:colOff>
      <xdr:row>108</xdr:row>
      <xdr:rowOff>257175</xdr:rowOff>
    </xdr:to>
    <xdr:sp macro="" textlink="">
      <xdr:nvSpPr>
        <xdr:cNvPr id="127" name="Retângulo de cantos arredondados 68">
          <a:extLst>
            <a:ext uri="{FF2B5EF4-FFF2-40B4-BE49-F238E27FC236}">
              <a16:creationId xmlns:a16="http://schemas.microsoft.com/office/drawing/2014/main" xmlns="" id="{4717AA61-53E9-4013-AE51-DE9067D8385C}"/>
            </a:ext>
          </a:extLst>
        </xdr:cNvPr>
        <xdr:cNvSpPr/>
      </xdr:nvSpPr>
      <xdr:spPr>
        <a:xfrm>
          <a:off x="11727521" y="1874957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98614</xdr:colOff>
      <xdr:row>110</xdr:row>
      <xdr:rowOff>180975</xdr:rowOff>
    </xdr:from>
    <xdr:to>
      <xdr:col>10</xdr:col>
      <xdr:colOff>965389</xdr:colOff>
      <xdr:row>110</xdr:row>
      <xdr:rowOff>257175</xdr:rowOff>
    </xdr:to>
    <xdr:sp macro="" textlink="">
      <xdr:nvSpPr>
        <xdr:cNvPr id="128" name="Retângulo de cantos arredondados 69">
          <a:extLst>
            <a:ext uri="{FF2B5EF4-FFF2-40B4-BE49-F238E27FC236}">
              <a16:creationId xmlns:a16="http://schemas.microsoft.com/office/drawing/2014/main" xmlns="" id="{2BC534A2-940B-438F-91AE-16F5AF519349}"/>
            </a:ext>
          </a:extLst>
        </xdr:cNvPr>
        <xdr:cNvSpPr/>
      </xdr:nvSpPr>
      <xdr:spPr>
        <a:xfrm>
          <a:off x="13294661" y="1909022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97452</xdr:colOff>
      <xdr:row>113</xdr:row>
      <xdr:rowOff>216878</xdr:rowOff>
    </xdr:from>
    <xdr:to>
      <xdr:col>10</xdr:col>
      <xdr:colOff>964227</xdr:colOff>
      <xdr:row>113</xdr:row>
      <xdr:rowOff>293078</xdr:rowOff>
    </xdr:to>
    <xdr:sp macro="" textlink="">
      <xdr:nvSpPr>
        <xdr:cNvPr id="129" name="Retângulo de cantos arredondados 70">
          <a:extLst>
            <a:ext uri="{FF2B5EF4-FFF2-40B4-BE49-F238E27FC236}">
              <a16:creationId xmlns:a16="http://schemas.microsoft.com/office/drawing/2014/main" xmlns="" id="{36CFE725-49FD-41C6-A117-4BC1F0424D7F}"/>
            </a:ext>
          </a:extLst>
        </xdr:cNvPr>
        <xdr:cNvSpPr/>
      </xdr:nvSpPr>
      <xdr:spPr>
        <a:xfrm>
          <a:off x="13293499" y="1960664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103314</xdr:colOff>
      <xdr:row>115</xdr:row>
      <xdr:rowOff>200759</xdr:rowOff>
    </xdr:from>
    <xdr:to>
      <xdr:col>10</xdr:col>
      <xdr:colOff>970089</xdr:colOff>
      <xdr:row>115</xdr:row>
      <xdr:rowOff>276959</xdr:rowOff>
    </xdr:to>
    <xdr:sp macro="" textlink="">
      <xdr:nvSpPr>
        <xdr:cNvPr id="130" name="Retângulo de cantos arredondados 71">
          <a:extLst>
            <a:ext uri="{FF2B5EF4-FFF2-40B4-BE49-F238E27FC236}">
              <a16:creationId xmlns:a16="http://schemas.microsoft.com/office/drawing/2014/main" xmlns="" id="{4515BD49-8D24-4676-B0CD-A698152FAD83}"/>
            </a:ext>
          </a:extLst>
        </xdr:cNvPr>
        <xdr:cNvSpPr/>
      </xdr:nvSpPr>
      <xdr:spPr>
        <a:xfrm>
          <a:off x="13299361" y="1994642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106244</xdr:colOff>
      <xdr:row>117</xdr:row>
      <xdr:rowOff>203690</xdr:rowOff>
    </xdr:from>
    <xdr:to>
      <xdr:col>10</xdr:col>
      <xdr:colOff>973019</xdr:colOff>
      <xdr:row>117</xdr:row>
      <xdr:rowOff>279890</xdr:rowOff>
    </xdr:to>
    <xdr:sp macro="" textlink="">
      <xdr:nvSpPr>
        <xdr:cNvPr id="131" name="Retângulo de cantos arredondados 72">
          <a:extLst>
            <a:ext uri="{FF2B5EF4-FFF2-40B4-BE49-F238E27FC236}">
              <a16:creationId xmlns:a16="http://schemas.microsoft.com/office/drawing/2014/main" xmlns="" id="{C85B0DA5-9543-47C3-B3D4-52A854830931}"/>
            </a:ext>
          </a:extLst>
        </xdr:cNvPr>
        <xdr:cNvSpPr/>
      </xdr:nvSpPr>
      <xdr:spPr>
        <a:xfrm>
          <a:off x="13302291" y="2028239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97452</xdr:colOff>
      <xdr:row>119</xdr:row>
      <xdr:rowOff>216878</xdr:rowOff>
    </xdr:from>
    <xdr:to>
      <xdr:col>10</xdr:col>
      <xdr:colOff>964227</xdr:colOff>
      <xdr:row>119</xdr:row>
      <xdr:rowOff>293078</xdr:rowOff>
    </xdr:to>
    <xdr:sp macro="" textlink="">
      <xdr:nvSpPr>
        <xdr:cNvPr id="132" name="Retângulo de cantos arredondados 73">
          <a:extLst>
            <a:ext uri="{FF2B5EF4-FFF2-40B4-BE49-F238E27FC236}">
              <a16:creationId xmlns:a16="http://schemas.microsoft.com/office/drawing/2014/main" xmlns="" id="{718382D0-E4E7-46C6-BC6C-E6A4D18750BB}"/>
            </a:ext>
          </a:extLst>
        </xdr:cNvPr>
        <xdr:cNvSpPr/>
      </xdr:nvSpPr>
      <xdr:spPr>
        <a:xfrm>
          <a:off x="13293499" y="2062861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103314</xdr:colOff>
      <xdr:row>121</xdr:row>
      <xdr:rowOff>200759</xdr:rowOff>
    </xdr:from>
    <xdr:to>
      <xdr:col>10</xdr:col>
      <xdr:colOff>970089</xdr:colOff>
      <xdr:row>121</xdr:row>
      <xdr:rowOff>276959</xdr:rowOff>
    </xdr:to>
    <xdr:sp macro="" textlink="">
      <xdr:nvSpPr>
        <xdr:cNvPr id="133" name="Retângulo de cantos arredondados 74">
          <a:extLst>
            <a:ext uri="{FF2B5EF4-FFF2-40B4-BE49-F238E27FC236}">
              <a16:creationId xmlns:a16="http://schemas.microsoft.com/office/drawing/2014/main" xmlns="" id="{DD29FDD2-8320-4EDE-A4FA-8950A8A7EB6F}"/>
            </a:ext>
          </a:extLst>
        </xdr:cNvPr>
        <xdr:cNvSpPr/>
      </xdr:nvSpPr>
      <xdr:spPr>
        <a:xfrm>
          <a:off x="13299361" y="2096839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103314</xdr:colOff>
      <xdr:row>123</xdr:row>
      <xdr:rowOff>200759</xdr:rowOff>
    </xdr:from>
    <xdr:to>
      <xdr:col>10</xdr:col>
      <xdr:colOff>970089</xdr:colOff>
      <xdr:row>123</xdr:row>
      <xdr:rowOff>276959</xdr:rowOff>
    </xdr:to>
    <xdr:sp macro="" textlink="">
      <xdr:nvSpPr>
        <xdr:cNvPr id="134" name="Retângulo de cantos arredondados 75">
          <a:extLst>
            <a:ext uri="{FF2B5EF4-FFF2-40B4-BE49-F238E27FC236}">
              <a16:creationId xmlns:a16="http://schemas.microsoft.com/office/drawing/2014/main" xmlns="" id="{856989EA-B626-407B-AAB0-1FB5592E5D95}"/>
            </a:ext>
          </a:extLst>
        </xdr:cNvPr>
        <xdr:cNvSpPr/>
      </xdr:nvSpPr>
      <xdr:spPr>
        <a:xfrm>
          <a:off x="13299361" y="2130905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106244</xdr:colOff>
      <xdr:row>125</xdr:row>
      <xdr:rowOff>203690</xdr:rowOff>
    </xdr:from>
    <xdr:to>
      <xdr:col>10</xdr:col>
      <xdr:colOff>973019</xdr:colOff>
      <xdr:row>125</xdr:row>
      <xdr:rowOff>279890</xdr:rowOff>
    </xdr:to>
    <xdr:sp macro="" textlink="">
      <xdr:nvSpPr>
        <xdr:cNvPr id="135" name="Retângulo de cantos arredondados 76">
          <a:extLst>
            <a:ext uri="{FF2B5EF4-FFF2-40B4-BE49-F238E27FC236}">
              <a16:creationId xmlns:a16="http://schemas.microsoft.com/office/drawing/2014/main" xmlns="" id="{C564CD77-7DC5-4484-B56E-FE8F3DB8DE2F}"/>
            </a:ext>
          </a:extLst>
        </xdr:cNvPr>
        <xdr:cNvSpPr/>
      </xdr:nvSpPr>
      <xdr:spPr>
        <a:xfrm>
          <a:off x="13302291" y="2164502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97452</xdr:colOff>
      <xdr:row>127</xdr:row>
      <xdr:rowOff>216878</xdr:rowOff>
    </xdr:from>
    <xdr:to>
      <xdr:col>10</xdr:col>
      <xdr:colOff>964227</xdr:colOff>
      <xdr:row>127</xdr:row>
      <xdr:rowOff>293078</xdr:rowOff>
    </xdr:to>
    <xdr:sp macro="" textlink="">
      <xdr:nvSpPr>
        <xdr:cNvPr id="136" name="Retângulo de cantos arredondados 77">
          <a:extLst>
            <a:ext uri="{FF2B5EF4-FFF2-40B4-BE49-F238E27FC236}">
              <a16:creationId xmlns:a16="http://schemas.microsoft.com/office/drawing/2014/main" xmlns="" id="{8841DF36-05AB-45A2-93DF-F038CCD95490}"/>
            </a:ext>
          </a:extLst>
        </xdr:cNvPr>
        <xdr:cNvSpPr/>
      </xdr:nvSpPr>
      <xdr:spPr>
        <a:xfrm>
          <a:off x="13293499" y="21991252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105338</xdr:colOff>
      <xdr:row>110</xdr:row>
      <xdr:rowOff>176492</xdr:rowOff>
    </xdr:from>
    <xdr:to>
      <xdr:col>9</xdr:col>
      <xdr:colOff>972113</xdr:colOff>
      <xdr:row>110</xdr:row>
      <xdr:rowOff>252692</xdr:rowOff>
    </xdr:to>
    <xdr:sp macro="" textlink="">
      <xdr:nvSpPr>
        <xdr:cNvPr id="137" name="Retângulo de cantos arredondados 164">
          <a:extLst>
            <a:ext uri="{FF2B5EF4-FFF2-40B4-BE49-F238E27FC236}">
              <a16:creationId xmlns:a16="http://schemas.microsoft.com/office/drawing/2014/main" xmlns="" id="{FA2FEC37-FCE8-4955-9580-826E769C119C}"/>
            </a:ext>
          </a:extLst>
        </xdr:cNvPr>
        <xdr:cNvSpPr/>
      </xdr:nvSpPr>
      <xdr:spPr>
        <a:xfrm>
          <a:off x="11732562" y="19093366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84614</xdr:colOff>
      <xdr:row>108</xdr:row>
      <xdr:rowOff>176491</xdr:rowOff>
    </xdr:from>
    <xdr:to>
      <xdr:col>10</xdr:col>
      <xdr:colOff>951389</xdr:colOff>
      <xdr:row>108</xdr:row>
      <xdr:rowOff>252691</xdr:rowOff>
    </xdr:to>
    <xdr:sp macro="" textlink="">
      <xdr:nvSpPr>
        <xdr:cNvPr id="138" name="Retângulo de cantos arredondados 165">
          <a:extLst>
            <a:ext uri="{FF2B5EF4-FFF2-40B4-BE49-F238E27FC236}">
              <a16:creationId xmlns:a16="http://schemas.microsoft.com/office/drawing/2014/main" xmlns="" id="{C2C26BEA-55E3-4E25-9842-3E772ED3F0D2}"/>
            </a:ext>
          </a:extLst>
        </xdr:cNvPr>
        <xdr:cNvSpPr/>
      </xdr:nvSpPr>
      <xdr:spPr>
        <a:xfrm>
          <a:off x="13280661" y="18752706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104173</xdr:colOff>
      <xdr:row>113</xdr:row>
      <xdr:rowOff>212394</xdr:rowOff>
    </xdr:from>
    <xdr:to>
      <xdr:col>9</xdr:col>
      <xdr:colOff>970948</xdr:colOff>
      <xdr:row>113</xdr:row>
      <xdr:rowOff>288594</xdr:rowOff>
    </xdr:to>
    <xdr:sp macro="" textlink="">
      <xdr:nvSpPr>
        <xdr:cNvPr id="139" name="Retângulo de cantos arredondados 168">
          <a:extLst>
            <a:ext uri="{FF2B5EF4-FFF2-40B4-BE49-F238E27FC236}">
              <a16:creationId xmlns:a16="http://schemas.microsoft.com/office/drawing/2014/main" xmlns="" id="{50E58010-B526-43A1-AA61-229D22AF9E4D}"/>
            </a:ext>
          </a:extLst>
        </xdr:cNvPr>
        <xdr:cNvSpPr/>
      </xdr:nvSpPr>
      <xdr:spPr>
        <a:xfrm>
          <a:off x="11731397" y="19602156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110035</xdr:colOff>
      <xdr:row>115</xdr:row>
      <xdr:rowOff>196275</xdr:rowOff>
    </xdr:from>
    <xdr:to>
      <xdr:col>9</xdr:col>
      <xdr:colOff>976810</xdr:colOff>
      <xdr:row>115</xdr:row>
      <xdr:rowOff>272475</xdr:rowOff>
    </xdr:to>
    <xdr:sp macro="" textlink="">
      <xdr:nvSpPr>
        <xdr:cNvPr id="140" name="Retângulo de cantos arredondados 169">
          <a:extLst>
            <a:ext uri="{FF2B5EF4-FFF2-40B4-BE49-F238E27FC236}">
              <a16:creationId xmlns:a16="http://schemas.microsoft.com/office/drawing/2014/main" xmlns="" id="{7F0D9526-434A-4C46-814C-36154606EE17}"/>
            </a:ext>
          </a:extLst>
        </xdr:cNvPr>
        <xdr:cNvSpPr/>
      </xdr:nvSpPr>
      <xdr:spPr>
        <a:xfrm>
          <a:off x="11737259" y="19941936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112965</xdr:colOff>
      <xdr:row>117</xdr:row>
      <xdr:rowOff>199206</xdr:rowOff>
    </xdr:from>
    <xdr:to>
      <xdr:col>9</xdr:col>
      <xdr:colOff>979740</xdr:colOff>
      <xdr:row>117</xdr:row>
      <xdr:rowOff>275406</xdr:rowOff>
    </xdr:to>
    <xdr:sp macro="" textlink="">
      <xdr:nvSpPr>
        <xdr:cNvPr id="141" name="Retângulo de cantos arredondados 170">
          <a:extLst>
            <a:ext uri="{FF2B5EF4-FFF2-40B4-BE49-F238E27FC236}">
              <a16:creationId xmlns:a16="http://schemas.microsoft.com/office/drawing/2014/main" xmlns="" id="{D38BCFF9-7DA5-48B9-949E-F4B94151EC0F}"/>
            </a:ext>
          </a:extLst>
        </xdr:cNvPr>
        <xdr:cNvSpPr/>
      </xdr:nvSpPr>
      <xdr:spPr>
        <a:xfrm>
          <a:off x="11740189" y="20285526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104173</xdr:colOff>
      <xdr:row>119</xdr:row>
      <xdr:rowOff>212394</xdr:rowOff>
    </xdr:from>
    <xdr:to>
      <xdr:col>9</xdr:col>
      <xdr:colOff>970948</xdr:colOff>
      <xdr:row>119</xdr:row>
      <xdr:rowOff>288594</xdr:rowOff>
    </xdr:to>
    <xdr:sp macro="" textlink="">
      <xdr:nvSpPr>
        <xdr:cNvPr id="142" name="Retângulo de cantos arredondados 171">
          <a:extLst>
            <a:ext uri="{FF2B5EF4-FFF2-40B4-BE49-F238E27FC236}">
              <a16:creationId xmlns:a16="http://schemas.microsoft.com/office/drawing/2014/main" xmlns="" id="{31C7A8D7-5A60-4673-99E5-D3382CDE234B}"/>
            </a:ext>
          </a:extLst>
        </xdr:cNvPr>
        <xdr:cNvSpPr/>
      </xdr:nvSpPr>
      <xdr:spPr>
        <a:xfrm>
          <a:off x="11731397" y="20624133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110035</xdr:colOff>
      <xdr:row>121</xdr:row>
      <xdr:rowOff>196275</xdr:rowOff>
    </xdr:from>
    <xdr:to>
      <xdr:col>9</xdr:col>
      <xdr:colOff>976810</xdr:colOff>
      <xdr:row>121</xdr:row>
      <xdr:rowOff>272475</xdr:rowOff>
    </xdr:to>
    <xdr:sp macro="" textlink="">
      <xdr:nvSpPr>
        <xdr:cNvPr id="143" name="Retângulo de cantos arredondados 172">
          <a:extLst>
            <a:ext uri="{FF2B5EF4-FFF2-40B4-BE49-F238E27FC236}">
              <a16:creationId xmlns:a16="http://schemas.microsoft.com/office/drawing/2014/main" xmlns="" id="{C0E2BB73-BED4-4C74-AA84-8D5C18AD8476}"/>
            </a:ext>
          </a:extLst>
        </xdr:cNvPr>
        <xdr:cNvSpPr/>
      </xdr:nvSpPr>
      <xdr:spPr>
        <a:xfrm>
          <a:off x="11737259" y="20963913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110035</xdr:colOff>
      <xdr:row>123</xdr:row>
      <xdr:rowOff>196275</xdr:rowOff>
    </xdr:from>
    <xdr:to>
      <xdr:col>9</xdr:col>
      <xdr:colOff>976810</xdr:colOff>
      <xdr:row>123</xdr:row>
      <xdr:rowOff>272475</xdr:rowOff>
    </xdr:to>
    <xdr:sp macro="" textlink="">
      <xdr:nvSpPr>
        <xdr:cNvPr id="144" name="Retângulo de cantos arredondados 173">
          <a:extLst>
            <a:ext uri="{FF2B5EF4-FFF2-40B4-BE49-F238E27FC236}">
              <a16:creationId xmlns:a16="http://schemas.microsoft.com/office/drawing/2014/main" xmlns="" id="{70E6A267-479F-47BD-B97B-781991FE5E91}"/>
            </a:ext>
          </a:extLst>
        </xdr:cNvPr>
        <xdr:cNvSpPr/>
      </xdr:nvSpPr>
      <xdr:spPr>
        <a:xfrm>
          <a:off x="11737259" y="2130457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112965</xdr:colOff>
      <xdr:row>125</xdr:row>
      <xdr:rowOff>199206</xdr:rowOff>
    </xdr:from>
    <xdr:to>
      <xdr:col>9</xdr:col>
      <xdr:colOff>979740</xdr:colOff>
      <xdr:row>125</xdr:row>
      <xdr:rowOff>275406</xdr:rowOff>
    </xdr:to>
    <xdr:sp macro="" textlink="">
      <xdr:nvSpPr>
        <xdr:cNvPr id="145" name="Retângulo de cantos arredondados 174">
          <a:extLst>
            <a:ext uri="{FF2B5EF4-FFF2-40B4-BE49-F238E27FC236}">
              <a16:creationId xmlns:a16="http://schemas.microsoft.com/office/drawing/2014/main" xmlns="" id="{8DA7C86B-D487-4F07-99F7-81DEF31AE100}"/>
            </a:ext>
          </a:extLst>
        </xdr:cNvPr>
        <xdr:cNvSpPr/>
      </xdr:nvSpPr>
      <xdr:spPr>
        <a:xfrm>
          <a:off x="11740189" y="2164816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104173</xdr:colOff>
      <xdr:row>127</xdr:row>
      <xdr:rowOff>212394</xdr:rowOff>
    </xdr:from>
    <xdr:to>
      <xdr:col>9</xdr:col>
      <xdr:colOff>970948</xdr:colOff>
      <xdr:row>127</xdr:row>
      <xdr:rowOff>288594</xdr:rowOff>
    </xdr:to>
    <xdr:sp macro="" textlink="">
      <xdr:nvSpPr>
        <xdr:cNvPr id="146" name="Retângulo de cantos arredondados 175">
          <a:extLst>
            <a:ext uri="{FF2B5EF4-FFF2-40B4-BE49-F238E27FC236}">
              <a16:creationId xmlns:a16="http://schemas.microsoft.com/office/drawing/2014/main" xmlns="" id="{0A4FB4A8-7387-4488-92B0-3CFBF179D2DF}"/>
            </a:ext>
          </a:extLst>
        </xdr:cNvPr>
        <xdr:cNvSpPr/>
      </xdr:nvSpPr>
      <xdr:spPr>
        <a:xfrm>
          <a:off x="11731397" y="2198676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105339</xdr:colOff>
      <xdr:row>105</xdr:row>
      <xdr:rowOff>176491</xdr:rowOff>
    </xdr:from>
    <xdr:to>
      <xdr:col>9</xdr:col>
      <xdr:colOff>972114</xdr:colOff>
      <xdr:row>105</xdr:row>
      <xdr:rowOff>252691</xdr:rowOff>
    </xdr:to>
    <xdr:sp macro="" textlink="">
      <xdr:nvSpPr>
        <xdr:cNvPr id="147" name="Retângulo de cantos arredondados 180">
          <a:extLst>
            <a:ext uri="{FF2B5EF4-FFF2-40B4-BE49-F238E27FC236}">
              <a16:creationId xmlns:a16="http://schemas.microsoft.com/office/drawing/2014/main" xmlns="" id="{29BA827F-2715-46D4-BBE3-38BF68795ED1}"/>
            </a:ext>
          </a:extLst>
        </xdr:cNvPr>
        <xdr:cNvSpPr/>
      </xdr:nvSpPr>
      <xdr:spPr>
        <a:xfrm>
          <a:off x="11732563" y="1824171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112061</xdr:colOff>
      <xdr:row>103</xdr:row>
      <xdr:rowOff>183206</xdr:rowOff>
    </xdr:from>
    <xdr:to>
      <xdr:col>9</xdr:col>
      <xdr:colOff>978836</xdr:colOff>
      <xdr:row>103</xdr:row>
      <xdr:rowOff>259406</xdr:rowOff>
    </xdr:to>
    <xdr:sp macro="" textlink="">
      <xdr:nvSpPr>
        <xdr:cNvPr id="148" name="Retângulo de cantos arredondados 181">
          <a:extLst>
            <a:ext uri="{FF2B5EF4-FFF2-40B4-BE49-F238E27FC236}">
              <a16:creationId xmlns:a16="http://schemas.microsoft.com/office/drawing/2014/main" xmlns="" id="{454CA558-4D79-46D1-9AE0-6606CA266E36}"/>
            </a:ext>
          </a:extLst>
        </xdr:cNvPr>
        <xdr:cNvSpPr/>
      </xdr:nvSpPr>
      <xdr:spPr>
        <a:xfrm>
          <a:off x="11739285" y="1790015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oneCellAnchor>
    <xdr:from>
      <xdr:col>9</xdr:col>
      <xdr:colOff>663389</xdr:colOff>
      <xdr:row>0</xdr:row>
      <xdr:rowOff>35858</xdr:rowOff>
    </xdr:from>
    <xdr:ext cx="2423306" cy="1872464"/>
    <xdr:pic>
      <xdr:nvPicPr>
        <xdr:cNvPr id="149" name="Imagem 1">
          <a:extLst>
            <a:ext uri="{FF2B5EF4-FFF2-40B4-BE49-F238E27FC236}">
              <a16:creationId xmlns:a16="http://schemas.microsoft.com/office/drawing/2014/main" xmlns="" id="{67FA3804-FD6E-4A12-B697-7AEE08BBF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90613" y="35858"/>
          <a:ext cx="2423306" cy="18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b79ed846818ab71/&#193;rea%20de%20Trabalho/NTC%20Engenharia/01%20-%20PREFEITURAS/Afr&#226;nio/Obras/Infraestrutura/FINISA/Campos%20Society/Or&#231;amento/Planilha%20Or&#231;ament&#225;ria%20ND%20%20-%20Campo%20Society%2025x45%20-%20Arizo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b79ed846818ab71/&#193;rea%20de%20Trabalho/NTC%20Engenharia/01%20-%20PREFEITURAS/Afr&#226;nio/Obras/Infraestrutura/FINISA/Campos%20Society/Or&#231;amento/Planilha%20Or&#231;ament&#225;ria%20ND%20%20-%20Campo%20Society%2022x40%20-%20Extrem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8b79ed846818ab71/&#193;rea%20de%20Trabalho/NTC%20Engenharia/01%20-%20PREFEITURAS/Afr&#226;nio/Obras/Infraestrutura/FINISA/Campos%20Society/Or&#231;amento/Planilha%20Or&#231;ament&#225;ria%20ND%20%20-%20Campo%20Society%2025x45%20-%20Sed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Memória de Cálculo"/>
      <sheetName val="BDI Geral"/>
      <sheetName val="Composições Unitárias"/>
      <sheetName val="Cronograma F.F."/>
    </sheetNames>
    <sheetDataSet>
      <sheetData sheetId="0">
        <row r="10">
          <cell r="G10">
            <v>352063.19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Memória de Cálculo"/>
      <sheetName val="BDI Geral"/>
      <sheetName val="Composições Unitárias"/>
      <sheetName val="Cronograma F.F."/>
    </sheetNames>
    <sheetDataSet>
      <sheetData sheetId="0">
        <row r="10">
          <cell r="G10">
            <v>294364.59000000003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Memória de Cálculo"/>
      <sheetName val="BDI Geral"/>
      <sheetName val="Composições Unitárias"/>
      <sheetName val="Cronograma F.F."/>
    </sheetNames>
    <sheetDataSet>
      <sheetData sheetId="0">
        <row r="10">
          <cell r="G10">
            <v>352063.19</v>
          </cell>
        </row>
      </sheetData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"/>
  <sheetViews>
    <sheetView tabSelected="1" view="pageBreakPreview" zoomScaleNormal="70" zoomScaleSheetLayoutView="100" workbookViewId="0">
      <selection activeCell="E78" sqref="E78"/>
    </sheetView>
  </sheetViews>
  <sheetFormatPr defaultRowHeight="13.2"/>
  <cols>
    <col min="1" max="1" width="8.33203125" bestFit="1" customWidth="1"/>
    <col min="2" max="2" width="13.5546875" customWidth="1"/>
    <col min="3" max="3" width="14.88671875" bestFit="1" customWidth="1"/>
    <col min="4" max="4" width="57.5546875" style="138" bestFit="1" customWidth="1"/>
    <col min="5" max="5" width="9.6640625" bestFit="1" customWidth="1"/>
    <col min="6" max="6" width="14" bestFit="1" customWidth="1"/>
    <col min="7" max="7" width="14.6640625" customWidth="1"/>
    <col min="8" max="8" width="14.44140625" customWidth="1"/>
    <col min="9" max="9" width="20.5546875" bestFit="1" customWidth="1"/>
    <col min="10" max="10" width="11.44140625" bestFit="1" customWidth="1"/>
    <col min="11" max="11" width="9.5546875" bestFit="1" customWidth="1"/>
    <col min="12" max="13" width="15.88671875" bestFit="1" customWidth="1"/>
  </cols>
  <sheetData>
    <row r="1" spans="1:12" ht="17.399999999999999">
      <c r="A1" s="164" t="s">
        <v>55</v>
      </c>
      <c r="B1" s="165"/>
      <c r="C1" s="165"/>
      <c r="D1" s="165"/>
      <c r="E1" s="165"/>
      <c r="F1" s="165"/>
      <c r="G1" s="165"/>
      <c r="H1" s="165"/>
      <c r="I1" s="165"/>
      <c r="J1" s="165"/>
      <c r="K1" s="29"/>
      <c r="L1" s="30"/>
    </row>
    <row r="2" spans="1:12" ht="15" customHeight="1">
      <c r="A2" s="166" t="s">
        <v>290</v>
      </c>
      <c r="B2" s="167"/>
      <c r="C2" s="167"/>
      <c r="D2" s="167"/>
      <c r="E2" s="167"/>
      <c r="F2" s="167"/>
      <c r="G2" s="167"/>
      <c r="H2" s="167"/>
      <c r="I2" s="167"/>
      <c r="J2" s="167"/>
      <c r="K2" s="31"/>
      <c r="L2" s="32"/>
    </row>
    <row r="3" spans="1:12" ht="15" customHeight="1">
      <c r="A3" s="168" t="s">
        <v>56</v>
      </c>
      <c r="B3" s="169"/>
      <c r="C3" s="33"/>
      <c r="D3" s="139" t="s">
        <v>57</v>
      </c>
      <c r="E3" s="33"/>
      <c r="F3" s="33"/>
      <c r="G3" s="33"/>
      <c r="H3" s="33"/>
      <c r="I3" s="35"/>
      <c r="J3" s="32"/>
    </row>
    <row r="4" spans="1:12" ht="15" customHeight="1">
      <c r="A4" s="36"/>
      <c r="B4" s="37"/>
      <c r="C4" s="37"/>
      <c r="D4" s="170" t="s">
        <v>226</v>
      </c>
      <c r="E4" s="171"/>
      <c r="F4" s="171"/>
      <c r="G4" s="171"/>
      <c r="H4" s="39"/>
      <c r="I4" s="39"/>
      <c r="J4" s="40"/>
      <c r="L4">
        <f>0.15/0.2</f>
        <v>0.74999999999999989</v>
      </c>
    </row>
    <row r="5" spans="1:12" ht="15" customHeight="1">
      <c r="A5" s="41"/>
      <c r="C5" s="42"/>
      <c r="E5" s="43"/>
      <c r="F5" s="43"/>
      <c r="J5" s="44"/>
      <c r="L5">
        <f>L6/0.08</f>
        <v>6.88</v>
      </c>
    </row>
    <row r="6" spans="1:12">
      <c r="A6" s="45" t="s">
        <v>58</v>
      </c>
      <c r="B6" s="33"/>
      <c r="C6" s="33"/>
      <c r="D6" s="140" t="s">
        <v>59</v>
      </c>
      <c r="E6" s="33"/>
      <c r="F6" s="33"/>
      <c r="G6" s="33"/>
      <c r="H6" s="33"/>
      <c r="I6" s="33"/>
      <c r="J6" s="32"/>
      <c r="L6">
        <f>0.74-L7</f>
        <v>0.5504</v>
      </c>
    </row>
    <row r="7" spans="1:12" ht="15" customHeight="1">
      <c r="A7" s="36"/>
      <c r="B7" s="47"/>
      <c r="C7" s="47"/>
      <c r="D7" s="141" t="s">
        <v>55</v>
      </c>
      <c r="E7" s="39"/>
      <c r="F7" s="39"/>
      <c r="G7" s="39"/>
      <c r="H7" s="39"/>
      <c r="I7" s="39"/>
      <c r="J7" s="40"/>
      <c r="L7" s="131">
        <f>2.37*0.08</f>
        <v>0.18960000000000002</v>
      </c>
    </row>
    <row r="8" spans="1:12" ht="15" customHeight="1">
      <c r="A8" s="41"/>
      <c r="B8" s="33"/>
      <c r="C8" s="33"/>
      <c r="D8" s="142"/>
      <c r="E8" s="33"/>
      <c r="F8" s="33"/>
      <c r="G8" s="33"/>
      <c r="H8" s="33"/>
      <c r="I8" s="33"/>
      <c r="J8" s="44"/>
    </row>
    <row r="9" spans="1:12" ht="25.5" customHeight="1">
      <c r="A9" s="45" t="s">
        <v>82</v>
      </c>
      <c r="B9" s="33"/>
      <c r="C9" s="33"/>
      <c r="D9" s="140" t="s">
        <v>60</v>
      </c>
      <c r="E9" s="179" t="s">
        <v>93</v>
      </c>
      <c r="F9" s="180"/>
      <c r="G9" s="49" t="s">
        <v>61</v>
      </c>
      <c r="H9" s="186" t="s">
        <v>62</v>
      </c>
      <c r="I9" s="187"/>
      <c r="J9" s="188"/>
      <c r="L9">
        <f>0.42/0.08</f>
        <v>5.25</v>
      </c>
    </row>
    <row r="10" spans="1:12" ht="39.75" customHeight="1">
      <c r="A10" s="52"/>
      <c r="B10" s="39"/>
      <c r="C10" s="39"/>
      <c r="D10" s="129" t="s">
        <v>291</v>
      </c>
      <c r="E10" s="181">
        <f>'BDI Geral'!$C$25</f>
        <v>0.26240159730706081</v>
      </c>
      <c r="F10" s="182"/>
      <c r="G10" s="51">
        <f>I122</f>
        <v>1413570.96</v>
      </c>
      <c r="H10" s="189" t="s">
        <v>292</v>
      </c>
      <c r="I10" s="190"/>
      <c r="J10" s="191"/>
      <c r="K10" t="s">
        <v>199</v>
      </c>
      <c r="L10">
        <f>0.74/0.2</f>
        <v>3.6999999999999997</v>
      </c>
    </row>
    <row r="11" spans="1:12" ht="19.5" customHeight="1">
      <c r="A11" s="173" t="s">
        <v>63</v>
      </c>
      <c r="B11" s="173"/>
      <c r="C11" s="173"/>
      <c r="D11" s="173"/>
      <c r="E11" s="173"/>
      <c r="F11" s="173"/>
      <c r="G11" s="173"/>
      <c r="H11" s="173"/>
      <c r="I11" s="173"/>
      <c r="J11" s="173"/>
      <c r="L11" s="130">
        <v>0.74</v>
      </c>
    </row>
    <row r="12" spans="1:12">
      <c r="A12" s="174"/>
      <c r="B12" s="174"/>
      <c r="C12" s="174"/>
      <c r="D12" s="174"/>
      <c r="E12" s="174"/>
      <c r="F12" s="174"/>
      <c r="G12" s="174"/>
      <c r="H12" s="174"/>
      <c r="I12" s="174"/>
      <c r="J12" s="174"/>
    </row>
    <row r="13" spans="1:12" ht="27.75" customHeight="1">
      <c r="A13" s="53" t="s">
        <v>0</v>
      </c>
      <c r="B13" s="53" t="s">
        <v>14</v>
      </c>
      <c r="C13" s="53" t="s">
        <v>65</v>
      </c>
      <c r="D13" s="54" t="s">
        <v>66</v>
      </c>
      <c r="E13" s="54" t="s">
        <v>67</v>
      </c>
      <c r="F13" s="54" t="s">
        <v>68</v>
      </c>
      <c r="G13" s="54" t="s">
        <v>69</v>
      </c>
      <c r="H13" s="54" t="s">
        <v>70</v>
      </c>
      <c r="I13" s="54" t="s">
        <v>71</v>
      </c>
      <c r="J13" s="54" t="s">
        <v>64</v>
      </c>
    </row>
    <row r="14" spans="1:12" ht="15" customHeight="1">
      <c r="A14" s="183" t="s">
        <v>96</v>
      </c>
      <c r="B14" s="184"/>
      <c r="C14" s="184"/>
      <c r="D14" s="184"/>
      <c r="E14" s="184"/>
      <c r="F14" s="184"/>
      <c r="G14" s="184"/>
      <c r="H14" s="184"/>
      <c r="I14" s="184">
        <f>I18</f>
        <v>15287.3</v>
      </c>
      <c r="J14" s="185">
        <f>I14/$I$122</f>
        <v>1.0814667556554783E-2</v>
      </c>
      <c r="L14">
        <f>25.78*42.7</f>
        <v>1100.806</v>
      </c>
    </row>
    <row r="15" spans="1:12" ht="39.6">
      <c r="A15" s="3" t="s">
        <v>3</v>
      </c>
      <c r="B15" s="3">
        <v>103689</v>
      </c>
      <c r="C15" s="1" t="s">
        <v>13</v>
      </c>
      <c r="D15" s="143" t="s">
        <v>120</v>
      </c>
      <c r="E15" s="3" t="s">
        <v>2</v>
      </c>
      <c r="F15" s="7">
        <f>'Memória de Cálculo'!I15</f>
        <v>6</v>
      </c>
      <c r="G15" s="70">
        <v>312.68</v>
      </c>
      <c r="H15" s="57">
        <f>TRUNC(G15+G15*$E$10,2)</f>
        <v>394.72</v>
      </c>
      <c r="I15" s="58">
        <f>TRUNC(H15*F15,2)</f>
        <v>2368.3200000000002</v>
      </c>
      <c r="J15" s="125">
        <f>I15/$I$122</f>
        <v>1.6754164219672427E-3</v>
      </c>
    </row>
    <row r="16" spans="1:12" ht="39.6">
      <c r="A16" s="3" t="s">
        <v>4</v>
      </c>
      <c r="B16" s="3">
        <v>98525</v>
      </c>
      <c r="C16" s="1" t="s">
        <v>13</v>
      </c>
      <c r="D16" s="143" t="s">
        <v>121</v>
      </c>
      <c r="E16" s="3" t="s">
        <v>2</v>
      </c>
      <c r="F16" s="7">
        <f>'Memória de Cálculo'!I16</f>
        <v>1118</v>
      </c>
      <c r="G16" s="70">
        <v>0.41</v>
      </c>
      <c r="H16" s="57">
        <f>TRUNC(G16+G16*$E$10,2)</f>
        <v>0.51</v>
      </c>
      <c r="I16" s="58">
        <f>TRUNC(H16*F16,2)</f>
        <v>570.17999999999995</v>
      </c>
      <c r="J16" s="125">
        <f>I16/$I$122</f>
        <v>4.0336142728908349E-4</v>
      </c>
      <c r="L16">
        <f>20*35</f>
        <v>700</v>
      </c>
    </row>
    <row r="17" spans="1:13" ht="39.6">
      <c r="A17" s="3" t="s">
        <v>11</v>
      </c>
      <c r="B17" s="3">
        <v>99059</v>
      </c>
      <c r="C17" s="1" t="s">
        <v>13</v>
      </c>
      <c r="D17" s="143" t="s">
        <v>200</v>
      </c>
      <c r="E17" s="3" t="s">
        <v>1</v>
      </c>
      <c r="F17" s="7">
        <f>'Memória de Cálculo'!I17</f>
        <v>160</v>
      </c>
      <c r="G17" s="70">
        <v>61.14</v>
      </c>
      <c r="H17" s="57">
        <f>TRUNC(G17+G17*$E$10,2)</f>
        <v>77.180000000000007</v>
      </c>
      <c r="I17" s="58">
        <f>TRUNC(H17*F17,2)</f>
        <v>12348.8</v>
      </c>
      <c r="J17" s="125">
        <f>I17/$I$122</f>
        <v>8.7358897072984578E-3</v>
      </c>
      <c r="L17">
        <f>20*35</f>
        <v>700</v>
      </c>
    </row>
    <row r="18" spans="1:13" ht="14.4">
      <c r="A18" s="175" t="s">
        <v>72</v>
      </c>
      <c r="B18" s="175"/>
      <c r="C18" s="175"/>
      <c r="D18" s="175"/>
      <c r="E18" s="175"/>
      <c r="F18" s="175"/>
      <c r="G18" s="175"/>
      <c r="H18" s="175"/>
      <c r="I18" s="59">
        <f>SUM(I15:I17)</f>
        <v>15287.3</v>
      </c>
      <c r="J18" s="126">
        <f>I18/$I$122</f>
        <v>1.0814667556554783E-2</v>
      </c>
    </row>
    <row r="19" spans="1:13" ht="13.8">
      <c r="A19" s="176"/>
      <c r="B19" s="177"/>
      <c r="C19" s="177"/>
      <c r="D19" s="177"/>
      <c r="E19" s="177"/>
      <c r="F19" s="177"/>
      <c r="G19" s="177"/>
      <c r="H19" s="177"/>
      <c r="I19" s="177"/>
      <c r="J19" s="178"/>
      <c r="M19" s="135">
        <f>G10+'[1]Planilha Orçamentária'!$G$10+'[2]Planilha Orçamentária'!$G$10+'[3]Planilha Orçamentária'!$G$10</f>
        <v>2412061.9300000002</v>
      </c>
    </row>
    <row r="20" spans="1:13" ht="15" customHeight="1">
      <c r="A20" s="183" t="s">
        <v>115</v>
      </c>
      <c r="B20" s="184"/>
      <c r="C20" s="184"/>
      <c r="D20" s="184"/>
      <c r="E20" s="184"/>
      <c r="F20" s="184"/>
      <c r="G20" s="184"/>
      <c r="H20" s="184"/>
      <c r="I20" s="184">
        <f>I26</f>
        <v>21492.54</v>
      </c>
      <c r="J20" s="185">
        <f t="shared" ref="J20:J26" si="0">I20/$I$122</f>
        <v>1.5204429496768949E-2</v>
      </c>
    </row>
    <row r="21" spans="1:13" ht="26.4">
      <c r="A21" s="3" t="s">
        <v>5</v>
      </c>
      <c r="B21" s="3">
        <v>100575</v>
      </c>
      <c r="C21" s="1" t="s">
        <v>13</v>
      </c>
      <c r="D21" s="143" t="s">
        <v>122</v>
      </c>
      <c r="E21" s="3" t="s">
        <v>2</v>
      </c>
      <c r="F21" s="7">
        <f>'Memória de Cálculo'!I20</f>
        <v>1118</v>
      </c>
      <c r="G21" s="70">
        <v>0.15</v>
      </c>
      <c r="H21" s="57">
        <f>TRUNC(G21+G21*$E$10,2)</f>
        <v>0.18</v>
      </c>
      <c r="I21" s="58">
        <f t="shared" ref="I21:I24" si="1">TRUNC(H21*F21,2)</f>
        <v>201.24</v>
      </c>
      <c r="J21" s="125">
        <f t="shared" si="0"/>
        <v>1.4236285669026478E-4</v>
      </c>
    </row>
    <row r="22" spans="1:13" ht="39.6">
      <c r="A22" s="3" t="s">
        <v>6</v>
      </c>
      <c r="B22" s="3">
        <v>96527</v>
      </c>
      <c r="C22" s="1" t="s">
        <v>13</v>
      </c>
      <c r="D22" s="143" t="s">
        <v>198</v>
      </c>
      <c r="E22" s="3" t="s">
        <v>10</v>
      </c>
      <c r="F22" s="7">
        <f>'Memória de Cálculo'!I21</f>
        <v>11.04</v>
      </c>
      <c r="G22" s="70">
        <v>126.72</v>
      </c>
      <c r="H22" s="57">
        <f t="shared" ref="H22:H24" si="2">TRUNC(G22+G22*$E$10,2)</f>
        <v>159.97</v>
      </c>
      <c r="I22" s="58">
        <f t="shared" si="1"/>
        <v>1766.06</v>
      </c>
      <c r="J22" s="125">
        <f t="shared" si="0"/>
        <v>1.2493606971099632E-3</v>
      </c>
    </row>
    <row r="23" spans="1:13" ht="39.6">
      <c r="A23" s="3" t="s">
        <v>95</v>
      </c>
      <c r="B23" s="3">
        <v>96523</v>
      </c>
      <c r="C23" s="1" t="s">
        <v>13</v>
      </c>
      <c r="D23" s="143" t="s">
        <v>123</v>
      </c>
      <c r="E23" s="3" t="s">
        <v>10</v>
      </c>
      <c r="F23" s="7">
        <f>'Memória de Cálculo'!$I$28</f>
        <v>115.75</v>
      </c>
      <c r="G23" s="70">
        <v>96.48</v>
      </c>
      <c r="H23" s="57">
        <f t="shared" si="2"/>
        <v>121.79</v>
      </c>
      <c r="I23" s="58">
        <f t="shared" si="1"/>
        <v>14097.19</v>
      </c>
      <c r="J23" s="125">
        <f t="shared" si="0"/>
        <v>9.9727501476119754E-3</v>
      </c>
    </row>
    <row r="24" spans="1:13" ht="39.6">
      <c r="A24" s="3" t="s">
        <v>97</v>
      </c>
      <c r="B24" s="3">
        <v>96385</v>
      </c>
      <c r="C24" s="1" t="s">
        <v>13</v>
      </c>
      <c r="D24" s="143" t="s">
        <v>124</v>
      </c>
      <c r="E24" s="3" t="s">
        <v>10</v>
      </c>
      <c r="F24" s="7">
        <f>'Memória de Cálculo'!$I$36</f>
        <v>227.04</v>
      </c>
      <c r="G24" s="70">
        <v>12.39</v>
      </c>
      <c r="H24" s="57">
        <f t="shared" si="2"/>
        <v>15.64</v>
      </c>
      <c r="I24" s="58">
        <f t="shared" si="1"/>
        <v>3550.9</v>
      </c>
      <c r="J24" s="125">
        <f t="shared" si="0"/>
        <v>2.5120068963499363E-3</v>
      </c>
    </row>
    <row r="25" spans="1:13" ht="26.4">
      <c r="A25" s="3" t="s">
        <v>98</v>
      </c>
      <c r="B25" s="3">
        <v>104737</v>
      </c>
      <c r="C25" s="1" t="s">
        <v>13</v>
      </c>
      <c r="D25" s="143" t="s">
        <v>201</v>
      </c>
      <c r="E25" s="3" t="s">
        <v>10</v>
      </c>
      <c r="F25" s="7">
        <f>'Memória de Cálculo'!$I$37</f>
        <v>69.37</v>
      </c>
      <c r="G25" s="70">
        <v>21.44</v>
      </c>
      <c r="H25" s="57">
        <f t="shared" ref="H25" si="3">TRUNC(G25+G25*$E$10,2)</f>
        <v>27.06</v>
      </c>
      <c r="I25" s="58">
        <f t="shared" ref="I25" si="4">TRUNC(H25*F25,2)</f>
        <v>1877.15</v>
      </c>
      <c r="J25" s="125">
        <f t="shared" si="0"/>
        <v>1.3279488990068104E-3</v>
      </c>
    </row>
    <row r="26" spans="1:13" ht="14.4">
      <c r="A26" s="175" t="s">
        <v>72</v>
      </c>
      <c r="B26" s="175"/>
      <c r="C26" s="175"/>
      <c r="D26" s="175"/>
      <c r="E26" s="175"/>
      <c r="F26" s="175"/>
      <c r="G26" s="175"/>
      <c r="H26" s="175"/>
      <c r="I26" s="59">
        <f>TRUNC(SUM(I21:I25),2)</f>
        <v>21492.54</v>
      </c>
      <c r="J26" s="126">
        <f t="shared" si="0"/>
        <v>1.5204429496768949E-2</v>
      </c>
    </row>
    <row r="27" spans="1:13" ht="13.8">
      <c r="A27" s="176"/>
      <c r="B27" s="177"/>
      <c r="C27" s="177"/>
      <c r="D27" s="177"/>
      <c r="E27" s="177"/>
      <c r="F27" s="177"/>
      <c r="G27" s="177"/>
      <c r="H27" s="177"/>
      <c r="I27" s="177"/>
      <c r="J27" s="178"/>
    </row>
    <row r="28" spans="1:13" ht="12.75" customHeight="1">
      <c r="A28" s="183" t="s">
        <v>116</v>
      </c>
      <c r="B28" s="184"/>
      <c r="C28" s="184"/>
      <c r="D28" s="184"/>
      <c r="E28" s="184"/>
      <c r="F28" s="184"/>
      <c r="G28" s="184"/>
      <c r="H28" s="184"/>
      <c r="I28" s="184"/>
      <c r="J28" s="185"/>
    </row>
    <row r="29" spans="1:13" ht="12.75" customHeight="1">
      <c r="A29" s="196" t="s">
        <v>270</v>
      </c>
      <c r="B29" s="197"/>
      <c r="C29" s="197"/>
      <c r="D29" s="197"/>
      <c r="E29" s="197"/>
      <c r="F29" s="197"/>
      <c r="G29" s="197"/>
      <c r="H29" s="197"/>
      <c r="I29" s="136">
        <f>TRUNC((SUM(I30:I38)),2)</f>
        <v>137235.17000000001</v>
      </c>
      <c r="J29" s="137">
        <f t="shared" ref="J29:J54" si="5">I29/$I$122</f>
        <v>9.7084033192079741E-2</v>
      </c>
    </row>
    <row r="30" spans="1:13" ht="39.6">
      <c r="A30" s="5" t="s">
        <v>126</v>
      </c>
      <c r="B30" s="3">
        <v>96617</v>
      </c>
      <c r="C30" s="1" t="s">
        <v>13</v>
      </c>
      <c r="D30" s="143" t="s">
        <v>129</v>
      </c>
      <c r="E30" s="3" t="s">
        <v>2</v>
      </c>
      <c r="F30" s="7">
        <f>'Memória de Cálculo'!$I$47</f>
        <v>77.17</v>
      </c>
      <c r="G30" s="70">
        <v>19.809999999999999</v>
      </c>
      <c r="H30" s="57">
        <f t="shared" ref="H30:H31" si="6">TRUNC(G30+G30*$E$10,2)</f>
        <v>25</v>
      </c>
      <c r="I30" s="58">
        <f>TRUNC(H30*F30,2)</f>
        <v>1929.25</v>
      </c>
      <c r="J30" s="125">
        <f t="shared" si="5"/>
        <v>1.3648059097082753E-3</v>
      </c>
      <c r="K30" s="147"/>
      <c r="L30" s="147"/>
    </row>
    <row r="31" spans="1:13" ht="39.6">
      <c r="A31" s="5" t="s">
        <v>127</v>
      </c>
      <c r="B31" s="6">
        <v>96535</v>
      </c>
      <c r="C31" s="1" t="s">
        <v>13</v>
      </c>
      <c r="D31" s="144" t="s">
        <v>130</v>
      </c>
      <c r="E31" s="1" t="s">
        <v>2</v>
      </c>
      <c r="F31" s="7">
        <f>'Memória de Cálculo'!I48</f>
        <v>144.63999999999999</v>
      </c>
      <c r="G31" s="70">
        <v>159.99</v>
      </c>
      <c r="H31" s="57">
        <f t="shared" si="6"/>
        <v>201.97</v>
      </c>
      <c r="I31" s="58">
        <f t="shared" ref="I31" si="7">TRUNC(H31*F31,2)</f>
        <v>29212.94</v>
      </c>
      <c r="J31" s="125">
        <f t="shared" si="5"/>
        <v>2.0666058391578729E-2</v>
      </c>
      <c r="K31" s="147"/>
      <c r="L31" s="147"/>
    </row>
    <row r="32" spans="1:13" ht="26.4">
      <c r="A32" s="5" t="s">
        <v>128</v>
      </c>
      <c r="B32" s="6">
        <v>96545</v>
      </c>
      <c r="C32" s="1" t="s">
        <v>13</v>
      </c>
      <c r="D32" s="144" t="s">
        <v>131</v>
      </c>
      <c r="E32" s="1" t="s">
        <v>16</v>
      </c>
      <c r="F32" s="7">
        <f>'Memória de Cálculo'!I49</f>
        <v>113.63</v>
      </c>
      <c r="G32" s="70">
        <v>16.649999999999999</v>
      </c>
      <c r="H32" s="57">
        <f>TRUNC(G32+G32*$E$10,2)</f>
        <v>21.01</v>
      </c>
      <c r="I32" s="58">
        <f t="shared" ref="I32:I38" si="8">TRUNC(H32*F32,2)</f>
        <v>2387.36</v>
      </c>
      <c r="J32" s="125">
        <f t="shared" si="5"/>
        <v>1.6888858554366456E-3</v>
      </c>
      <c r="K32" s="147"/>
      <c r="L32" s="147"/>
    </row>
    <row r="33" spans="1:12" ht="26.4">
      <c r="A33" s="5" t="s">
        <v>133</v>
      </c>
      <c r="B33" s="6">
        <v>96546</v>
      </c>
      <c r="C33" s="1" t="s">
        <v>13</v>
      </c>
      <c r="D33" s="144" t="s">
        <v>132</v>
      </c>
      <c r="E33" s="1" t="s">
        <v>16</v>
      </c>
      <c r="F33" s="7">
        <f>'Memória de Cálculo'!I50</f>
        <v>1199.27</v>
      </c>
      <c r="G33" s="70">
        <v>14.86</v>
      </c>
      <c r="H33" s="57">
        <f t="shared" ref="H33:H35" si="9">TRUNC(G33+G33*$E$10,2)</f>
        <v>18.75</v>
      </c>
      <c r="I33" s="58">
        <f t="shared" si="8"/>
        <v>22486.31</v>
      </c>
      <c r="J33" s="125">
        <f t="shared" si="5"/>
        <v>1.5907450447340828E-2</v>
      </c>
      <c r="K33" s="147"/>
      <c r="L33" s="147"/>
    </row>
    <row r="34" spans="1:12" ht="26.4">
      <c r="A34" s="5" t="s">
        <v>134</v>
      </c>
      <c r="B34" s="6">
        <v>96547</v>
      </c>
      <c r="C34" s="1" t="s">
        <v>13</v>
      </c>
      <c r="D34" s="144" t="s">
        <v>272</v>
      </c>
      <c r="E34" s="1" t="s">
        <v>16</v>
      </c>
      <c r="F34" s="7">
        <f>'Memória de Cálculo'!I51</f>
        <v>1277.81</v>
      </c>
      <c r="G34" s="70">
        <v>12.51</v>
      </c>
      <c r="H34" s="57">
        <f t="shared" ref="H34" si="10">TRUNC(G34+G34*$E$10,2)</f>
        <v>15.79</v>
      </c>
      <c r="I34" s="58">
        <f t="shared" si="8"/>
        <v>20176.61</v>
      </c>
      <c r="J34" s="125">
        <f t="shared" si="5"/>
        <v>1.4273503468124445E-2</v>
      </c>
      <c r="K34" s="147"/>
      <c r="L34" s="147"/>
    </row>
    <row r="35" spans="1:12" ht="26.4">
      <c r="A35" s="5" t="s">
        <v>135</v>
      </c>
      <c r="B35" s="6">
        <v>96548</v>
      </c>
      <c r="C35" s="1" t="s">
        <v>13</v>
      </c>
      <c r="D35" s="144" t="s">
        <v>273</v>
      </c>
      <c r="E35" s="1" t="s">
        <v>16</v>
      </c>
      <c r="F35" s="7">
        <f>'Memória de Cálculo'!I52</f>
        <v>81.45</v>
      </c>
      <c r="G35" s="70">
        <v>11.81</v>
      </c>
      <c r="H35" s="57">
        <f t="shared" si="9"/>
        <v>14.9</v>
      </c>
      <c r="I35" s="58">
        <f t="shared" ref="I35" si="11">TRUNC(H35*F35,2)</f>
        <v>1213.5999999999999</v>
      </c>
      <c r="J35" s="125">
        <f t="shared" si="5"/>
        <v>8.5853489802874836E-4</v>
      </c>
      <c r="K35" s="147"/>
      <c r="L35" s="147"/>
    </row>
    <row r="36" spans="1:12" ht="26.4">
      <c r="A36" s="5" t="s">
        <v>137</v>
      </c>
      <c r="B36" s="6">
        <v>96543</v>
      </c>
      <c r="C36" s="1" t="s">
        <v>13</v>
      </c>
      <c r="D36" s="144" t="s">
        <v>136</v>
      </c>
      <c r="E36" s="1" t="s">
        <v>16</v>
      </c>
      <c r="F36" s="7">
        <f>'Memória de Cálculo'!I53</f>
        <v>376.36</v>
      </c>
      <c r="G36" s="70">
        <v>19.18</v>
      </c>
      <c r="H36" s="57">
        <f t="shared" ref="H36" si="12">TRUNC(G36+G36*$E$10,2)</f>
        <v>24.21</v>
      </c>
      <c r="I36" s="58">
        <f t="shared" si="8"/>
        <v>9111.67</v>
      </c>
      <c r="J36" s="125">
        <f t="shared" si="5"/>
        <v>6.4458525661845803E-3</v>
      </c>
      <c r="K36" s="147"/>
      <c r="L36" s="147"/>
    </row>
    <row r="37" spans="1:12" ht="39.6">
      <c r="A37" s="5" t="s">
        <v>138</v>
      </c>
      <c r="B37" s="6">
        <v>96556</v>
      </c>
      <c r="C37" s="1" t="s">
        <v>13</v>
      </c>
      <c r="D37" s="144" t="s">
        <v>99</v>
      </c>
      <c r="E37" s="1" t="s">
        <v>10</v>
      </c>
      <c r="F37" s="7">
        <f>'Memória de Cálculo'!I54</f>
        <v>46.38</v>
      </c>
      <c r="G37" s="70">
        <v>788.91</v>
      </c>
      <c r="H37" s="57">
        <f t="shared" ref="H37" si="13">TRUNC(G37+G37*$E$10,2)</f>
        <v>995.92</v>
      </c>
      <c r="I37" s="58">
        <f t="shared" si="8"/>
        <v>46190.76</v>
      </c>
      <c r="J37" s="125">
        <f t="shared" si="5"/>
        <v>3.2676647516867496E-2</v>
      </c>
      <c r="K37" s="147"/>
      <c r="L37" s="147"/>
    </row>
    <row r="38" spans="1:12" ht="26.4">
      <c r="A38" s="5" t="s">
        <v>271</v>
      </c>
      <c r="B38" s="6">
        <v>98557</v>
      </c>
      <c r="C38" s="1" t="s">
        <v>13</v>
      </c>
      <c r="D38" s="144" t="s">
        <v>140</v>
      </c>
      <c r="E38" s="3" t="s">
        <v>2</v>
      </c>
      <c r="F38" s="7">
        <f>'Memória de Cálculo'!I55</f>
        <v>82.8</v>
      </c>
      <c r="G38" s="70">
        <v>43.31</v>
      </c>
      <c r="H38" s="57">
        <f t="shared" ref="H38" si="14">TRUNC(G38+G38*$E$10,2)</f>
        <v>54.67</v>
      </c>
      <c r="I38" s="58">
        <f t="shared" si="8"/>
        <v>4526.67</v>
      </c>
      <c r="J38" s="125">
        <f t="shared" si="5"/>
        <v>3.2022941388099827E-3</v>
      </c>
      <c r="K38" s="147"/>
      <c r="L38" s="147"/>
    </row>
    <row r="39" spans="1:12" ht="12.75" customHeight="1">
      <c r="A39" s="196" t="s">
        <v>118</v>
      </c>
      <c r="B39" s="197"/>
      <c r="C39" s="197"/>
      <c r="D39" s="197"/>
      <c r="E39" s="197"/>
      <c r="F39" s="197"/>
      <c r="G39" s="197"/>
      <c r="H39" s="197"/>
      <c r="I39" s="136">
        <f>TRUNC((SUM(I40:I45)),2)</f>
        <v>64298.46</v>
      </c>
      <c r="J39" s="137">
        <f t="shared" si="5"/>
        <v>4.548654564890043E-2</v>
      </c>
    </row>
    <row r="40" spans="1:12" ht="26.4">
      <c r="A40" s="5" t="s">
        <v>143</v>
      </c>
      <c r="B40" s="3">
        <v>92269</v>
      </c>
      <c r="C40" s="1" t="s">
        <v>13</v>
      </c>
      <c r="D40" s="143" t="s">
        <v>139</v>
      </c>
      <c r="E40" s="3" t="s">
        <v>2</v>
      </c>
      <c r="F40" s="7">
        <f>'Memória de Cálculo'!I57</f>
        <v>165.76</v>
      </c>
      <c r="G40" s="70">
        <v>160.97999999999999</v>
      </c>
      <c r="H40" s="57">
        <f t="shared" ref="H40:H44" si="15">TRUNC(G40+G40*$E$10,2)</f>
        <v>203.22</v>
      </c>
      <c r="I40" s="58">
        <f>TRUNC(H40*F40,2)</f>
        <v>33685.74</v>
      </c>
      <c r="J40" s="125">
        <f t="shared" si="5"/>
        <v>2.3830243371722917E-2</v>
      </c>
      <c r="K40" s="147"/>
      <c r="L40" s="147"/>
    </row>
    <row r="41" spans="1:12" ht="39.6">
      <c r="A41" s="5" t="s">
        <v>144</v>
      </c>
      <c r="B41" s="6">
        <v>92762</v>
      </c>
      <c r="C41" s="1" t="s">
        <v>13</v>
      </c>
      <c r="D41" s="144" t="s">
        <v>141</v>
      </c>
      <c r="E41" s="1" t="s">
        <v>16</v>
      </c>
      <c r="F41" s="7">
        <f>'Memória de Cálculo'!I58</f>
        <v>213.36</v>
      </c>
      <c r="G41" s="70">
        <v>13.06</v>
      </c>
      <c r="H41" s="57">
        <f t="shared" si="15"/>
        <v>16.48</v>
      </c>
      <c r="I41" s="58">
        <f t="shared" ref="I41" si="16">TRUNC(H41*F41,2)</f>
        <v>3516.17</v>
      </c>
      <c r="J41" s="125">
        <f t="shared" si="5"/>
        <v>2.487437913976388E-3</v>
      </c>
      <c r="K41" s="147"/>
      <c r="L41" s="147"/>
    </row>
    <row r="42" spans="1:12" ht="39.6">
      <c r="A42" s="5" t="s">
        <v>145</v>
      </c>
      <c r="B42" s="6">
        <v>92763</v>
      </c>
      <c r="C42" s="1" t="s">
        <v>13</v>
      </c>
      <c r="D42" s="144" t="s">
        <v>275</v>
      </c>
      <c r="E42" s="1" t="s">
        <v>16</v>
      </c>
      <c r="F42" s="7">
        <f>'Memória de Cálculo'!I59</f>
        <v>433.81</v>
      </c>
      <c r="G42" s="70">
        <v>11.02</v>
      </c>
      <c r="H42" s="57">
        <f t="shared" ref="H42" si="17">TRUNC(G42+G42*$E$10,2)</f>
        <v>13.91</v>
      </c>
      <c r="I42" s="58">
        <f t="shared" ref="I42" si="18">TRUNC(H42*F42,2)</f>
        <v>6034.29</v>
      </c>
      <c r="J42" s="125">
        <f t="shared" si="5"/>
        <v>4.2688270845631978E-3</v>
      </c>
      <c r="K42" s="147"/>
      <c r="L42" s="147"/>
    </row>
    <row r="43" spans="1:12" ht="39.6">
      <c r="A43" s="5" t="s">
        <v>146</v>
      </c>
      <c r="B43" s="6">
        <v>92764</v>
      </c>
      <c r="C43" s="1" t="s">
        <v>13</v>
      </c>
      <c r="D43" s="144" t="s">
        <v>277</v>
      </c>
      <c r="E43" s="1" t="s">
        <v>16</v>
      </c>
      <c r="F43" s="7">
        <f>'Memória de Cálculo'!I60</f>
        <v>109.45</v>
      </c>
      <c r="G43" s="70">
        <v>10.74</v>
      </c>
      <c r="H43" s="57">
        <f t="shared" ref="H43" si="19">TRUNC(G43+G43*$E$10,2)</f>
        <v>13.55</v>
      </c>
      <c r="I43" s="58">
        <f t="shared" ref="I43" si="20">TRUNC(H43*F43,2)</f>
        <v>1483.04</v>
      </c>
      <c r="J43" s="125">
        <f t="shared" si="5"/>
        <v>1.0491443598982821E-3</v>
      </c>
      <c r="K43" s="147"/>
      <c r="L43" s="147"/>
    </row>
    <row r="44" spans="1:12" ht="39.6">
      <c r="A44" s="5" t="s">
        <v>274</v>
      </c>
      <c r="B44" s="6">
        <v>92759</v>
      </c>
      <c r="C44" s="1" t="s">
        <v>13</v>
      </c>
      <c r="D44" s="144" t="s">
        <v>142</v>
      </c>
      <c r="E44" s="1" t="s">
        <v>16</v>
      </c>
      <c r="F44" s="7">
        <f>'Memória de Cálculo'!I61</f>
        <v>258.08999999999997</v>
      </c>
      <c r="G44" s="70">
        <v>15.71</v>
      </c>
      <c r="H44" s="57">
        <f t="shared" si="15"/>
        <v>19.829999999999998</v>
      </c>
      <c r="I44" s="58">
        <f>TRUNC(H44*F44,2)</f>
        <v>5117.92</v>
      </c>
      <c r="J44" s="125">
        <f t="shared" si="5"/>
        <v>3.6205610788721922E-3</v>
      </c>
      <c r="K44" s="147"/>
      <c r="L44" s="147"/>
    </row>
    <row r="45" spans="1:12" ht="39.6">
      <c r="A45" s="5" t="s">
        <v>276</v>
      </c>
      <c r="B45" s="6">
        <v>103669</v>
      </c>
      <c r="C45" s="1" t="s">
        <v>13</v>
      </c>
      <c r="D45" s="144" t="s">
        <v>147</v>
      </c>
      <c r="E45" s="1" t="s">
        <v>10</v>
      </c>
      <c r="F45" s="7">
        <f>'Memória de Cálculo'!I62</f>
        <v>13.09</v>
      </c>
      <c r="G45" s="70">
        <v>875.13</v>
      </c>
      <c r="H45" s="57">
        <f t="shared" ref="H45" si="21">TRUNC(G45+G45*$E$10,2)</f>
        <v>1104.76</v>
      </c>
      <c r="I45" s="58">
        <f>TRUNC(H45*F45,2)</f>
        <v>14461.3</v>
      </c>
      <c r="J45" s="125">
        <f t="shared" si="5"/>
        <v>1.0230331839867452E-2</v>
      </c>
      <c r="K45" s="147"/>
      <c r="L45" s="147"/>
    </row>
    <row r="46" spans="1:12" ht="12.75" customHeight="1">
      <c r="A46" s="196" t="s">
        <v>119</v>
      </c>
      <c r="B46" s="197"/>
      <c r="C46" s="197"/>
      <c r="D46" s="197"/>
      <c r="E46" s="197"/>
      <c r="F46" s="197"/>
      <c r="G46" s="197"/>
      <c r="H46" s="197"/>
      <c r="I46" s="136">
        <f>TRUNC((SUM(I47:I52)),2)</f>
        <v>42743.31</v>
      </c>
      <c r="J46" s="137">
        <f t="shared" si="5"/>
        <v>3.023782407074916E-2</v>
      </c>
    </row>
    <row r="47" spans="1:12" ht="26.4">
      <c r="A47" s="5" t="s">
        <v>148</v>
      </c>
      <c r="B47" s="3">
        <v>92270</v>
      </c>
      <c r="C47" s="1" t="s">
        <v>13</v>
      </c>
      <c r="D47" s="143" t="s">
        <v>153</v>
      </c>
      <c r="E47" s="3" t="s">
        <v>2</v>
      </c>
      <c r="F47" s="7">
        <f>'Memória de Cálculo'!I64</f>
        <v>116.19</v>
      </c>
      <c r="G47" s="70">
        <v>194.42</v>
      </c>
      <c r="H47" s="57">
        <f t="shared" ref="H47:H51" si="22">TRUNC(G47+G47*$E$10,2)</f>
        <v>245.43</v>
      </c>
      <c r="I47" s="58">
        <f>TRUNC(H47*F47,2)</f>
        <v>28516.51</v>
      </c>
      <c r="J47" s="125">
        <f t="shared" si="5"/>
        <v>2.0173384150449721E-2</v>
      </c>
      <c r="K47">
        <f>(20.3+20.3+38.7+38.7)*0.4</f>
        <v>47.20000000000001</v>
      </c>
    </row>
    <row r="48" spans="1:12" ht="39.6">
      <c r="A48" s="5" t="s">
        <v>151</v>
      </c>
      <c r="B48" s="6">
        <v>92760</v>
      </c>
      <c r="C48" s="1" t="s">
        <v>13</v>
      </c>
      <c r="D48" s="144" t="s">
        <v>278</v>
      </c>
      <c r="E48" s="1" t="s">
        <v>16</v>
      </c>
      <c r="F48" s="7">
        <f>'Memória de Cálculo'!I65</f>
        <v>1.54</v>
      </c>
      <c r="G48" s="70">
        <v>15.16</v>
      </c>
      <c r="H48" s="57">
        <f t="shared" ref="H48" si="23">TRUNC(G48+G48*$E$10,2)</f>
        <v>19.13</v>
      </c>
      <c r="I48" s="58">
        <f t="shared" ref="I48" si="24">TRUNC(H48*F48,2)</f>
        <v>29.46</v>
      </c>
      <c r="J48" s="125">
        <f t="shared" si="5"/>
        <v>2.0840835609695889E-5</v>
      </c>
    </row>
    <row r="49" spans="1:10" ht="39.6">
      <c r="A49" s="5" t="s">
        <v>152</v>
      </c>
      <c r="B49" s="6">
        <v>92761</v>
      </c>
      <c r="C49" s="1" t="s">
        <v>13</v>
      </c>
      <c r="D49" s="144" t="s">
        <v>154</v>
      </c>
      <c r="E49" s="1" t="s">
        <v>16</v>
      </c>
      <c r="F49" s="7">
        <f>'Memória de Cálculo'!I66</f>
        <v>183.72</v>
      </c>
      <c r="G49" s="70">
        <v>14.46</v>
      </c>
      <c r="H49" s="57">
        <f t="shared" si="22"/>
        <v>18.25</v>
      </c>
      <c r="I49" s="58">
        <f t="shared" ref="I49" si="25">TRUNC(H49*F49,2)</f>
        <v>3352.89</v>
      </c>
      <c r="J49" s="125">
        <f t="shared" si="5"/>
        <v>2.3719290328375166E-3</v>
      </c>
    </row>
    <row r="50" spans="1:10" ht="39.6">
      <c r="A50" s="5" t="s">
        <v>205</v>
      </c>
      <c r="B50" s="6">
        <v>92763</v>
      </c>
      <c r="C50" s="1" t="s">
        <v>13</v>
      </c>
      <c r="D50" s="144" t="s">
        <v>275</v>
      </c>
      <c r="E50" s="1" t="s">
        <v>16</v>
      </c>
      <c r="F50" s="7">
        <f>'Memória de Cálculo'!I67</f>
        <v>94.18</v>
      </c>
      <c r="G50" s="70">
        <v>11.02</v>
      </c>
      <c r="H50" s="57">
        <f t="shared" ref="H50" si="26">TRUNC(G50+G50*$E$10,2)</f>
        <v>13.91</v>
      </c>
      <c r="I50" s="58">
        <f t="shared" ref="I50" si="27">TRUNC(H50*F50,2)</f>
        <v>1310.04</v>
      </c>
      <c r="J50" s="125">
        <f t="shared" si="5"/>
        <v>9.2675927637902241E-4</v>
      </c>
    </row>
    <row r="51" spans="1:10" ht="39.6">
      <c r="A51" s="5" t="s">
        <v>279</v>
      </c>
      <c r="B51" s="6">
        <v>92759</v>
      </c>
      <c r="C51" s="1" t="s">
        <v>13</v>
      </c>
      <c r="D51" s="144" t="s">
        <v>142</v>
      </c>
      <c r="E51" s="1" t="s">
        <v>16</v>
      </c>
      <c r="F51" s="7">
        <f>'Memória de Cálculo'!I68</f>
        <v>87</v>
      </c>
      <c r="G51" s="70">
        <v>15.71</v>
      </c>
      <c r="H51" s="57">
        <f t="shared" si="22"/>
        <v>19.829999999999998</v>
      </c>
      <c r="I51" s="58">
        <f>TRUNC(H51*F51,2)</f>
        <v>1725.21</v>
      </c>
      <c r="J51" s="125">
        <f t="shared" si="5"/>
        <v>1.2204622539783924E-3</v>
      </c>
    </row>
    <row r="52" spans="1:10" ht="52.8">
      <c r="A52" s="5" t="s">
        <v>280</v>
      </c>
      <c r="B52" s="6">
        <v>103682</v>
      </c>
      <c r="C52" s="1" t="s">
        <v>13</v>
      </c>
      <c r="D52" s="144" t="s">
        <v>155</v>
      </c>
      <c r="E52" s="1" t="s">
        <v>10</v>
      </c>
      <c r="F52" s="7">
        <f>'Memória de Cálculo'!I69</f>
        <v>6.93</v>
      </c>
      <c r="G52" s="70">
        <v>892.64</v>
      </c>
      <c r="H52" s="57">
        <f t="shared" ref="H52" si="28">TRUNC(G52+G52*$E$10,2)</f>
        <v>1126.8699999999999</v>
      </c>
      <c r="I52" s="58">
        <f>TRUNC(H52*F52,2)</f>
        <v>7809.2</v>
      </c>
      <c r="J52" s="125">
        <f t="shared" si="5"/>
        <v>5.5244485214948104E-3</v>
      </c>
    </row>
    <row r="53" spans="1:10" ht="12.75" customHeight="1">
      <c r="A53" s="196" t="s">
        <v>207</v>
      </c>
      <c r="B53" s="197"/>
      <c r="C53" s="197"/>
      <c r="D53" s="197"/>
      <c r="E53" s="197"/>
      <c r="F53" s="197"/>
      <c r="G53" s="197"/>
      <c r="H53" s="197"/>
      <c r="I53" s="136">
        <f>TRUNC((SUM(I54)),2)</f>
        <v>15247.55</v>
      </c>
      <c r="J53" s="137">
        <f t="shared" si="5"/>
        <v>1.0786547284474491E-2</v>
      </c>
    </row>
    <row r="54" spans="1:10" ht="52.8">
      <c r="A54" s="5" t="s">
        <v>150</v>
      </c>
      <c r="B54" s="3">
        <v>101964</v>
      </c>
      <c r="C54" s="1" t="s">
        <v>13</v>
      </c>
      <c r="D54" s="143" t="s">
        <v>149</v>
      </c>
      <c r="E54" s="3" t="s">
        <v>2</v>
      </c>
      <c r="F54" s="7">
        <f>'Memória de Cálculo'!$I$75</f>
        <v>63.260000000000005</v>
      </c>
      <c r="G54" s="70">
        <v>190.93</v>
      </c>
      <c r="H54" s="57">
        <f t="shared" ref="H54" si="29">TRUNC(G54+G54*$E$10,2)</f>
        <v>241.03</v>
      </c>
      <c r="I54" s="58">
        <f>TRUNC(H54*F54,2)</f>
        <v>15247.55</v>
      </c>
      <c r="J54" s="125">
        <f t="shared" si="5"/>
        <v>1.0786547284474491E-2</v>
      </c>
    </row>
    <row r="55" spans="1:10" ht="14.4">
      <c r="A55" s="193" t="s">
        <v>72</v>
      </c>
      <c r="B55" s="194"/>
      <c r="C55" s="194"/>
      <c r="D55" s="194"/>
      <c r="E55" s="194"/>
      <c r="F55" s="194"/>
      <c r="G55" s="194"/>
      <c r="H55" s="195"/>
      <c r="I55" s="59">
        <f>TRUNC(SUM(I53,I46,I39,I29),2)</f>
        <v>259524.49</v>
      </c>
      <c r="J55" s="126">
        <f>I55/$G$10</f>
        <v>0.18359495019620381</v>
      </c>
    </row>
    <row r="56" spans="1:10">
      <c r="A56" s="192"/>
      <c r="B56" s="192"/>
      <c r="C56" s="192"/>
      <c r="D56" s="192"/>
      <c r="E56" s="192"/>
      <c r="F56" s="192"/>
      <c r="G56" s="192"/>
      <c r="H56" s="192"/>
      <c r="I56" s="192"/>
      <c r="J56" s="28"/>
    </row>
    <row r="57" spans="1:10" ht="12.75" customHeight="1">
      <c r="A57" s="183" t="s">
        <v>117</v>
      </c>
      <c r="B57" s="184"/>
      <c r="C57" s="184"/>
      <c r="D57" s="184"/>
      <c r="E57" s="184"/>
      <c r="F57" s="184"/>
      <c r="G57" s="184"/>
      <c r="H57" s="184"/>
      <c r="I57" s="184">
        <f>TRUNC((SUM(I61)),2)</f>
        <v>131980.15</v>
      </c>
      <c r="J57" s="185">
        <f>I57/$I$122</f>
        <v>9.3366483703089087E-2</v>
      </c>
    </row>
    <row r="58" spans="1:10" ht="52.8">
      <c r="A58" s="5" t="s">
        <v>7</v>
      </c>
      <c r="B58" s="6">
        <v>103328</v>
      </c>
      <c r="C58" s="1" t="s">
        <v>13</v>
      </c>
      <c r="D58" s="144" t="s">
        <v>100</v>
      </c>
      <c r="E58" s="1" t="s">
        <v>2</v>
      </c>
      <c r="F58" s="7">
        <f>'Memória de Cálculo'!$I$78</f>
        <v>77.42</v>
      </c>
      <c r="G58" s="70">
        <v>80.98</v>
      </c>
      <c r="H58" s="57">
        <f t="shared" ref="H58:H59" si="30">TRUNC(G58+G58*$E$10,2)</f>
        <v>102.22</v>
      </c>
      <c r="I58" s="58">
        <f>TRUNC(H58*F58,2)</f>
        <v>7913.87</v>
      </c>
      <c r="J58" s="125">
        <f>I58/$I$122</f>
        <v>5.598495034165105E-3</v>
      </c>
    </row>
    <row r="59" spans="1:10" ht="52.8">
      <c r="A59" s="5" t="s">
        <v>8</v>
      </c>
      <c r="B59" s="6">
        <v>101166</v>
      </c>
      <c r="C59" s="1" t="s">
        <v>13</v>
      </c>
      <c r="D59" s="144" t="s">
        <v>208</v>
      </c>
      <c r="E59" s="1" t="s">
        <v>10</v>
      </c>
      <c r="F59" s="7">
        <f>'Memória de Cálculo'!$I$85</f>
        <v>136.12</v>
      </c>
      <c r="G59" s="70">
        <v>565.21</v>
      </c>
      <c r="H59" s="57">
        <f t="shared" si="30"/>
        <v>713.52</v>
      </c>
      <c r="I59" s="58">
        <f>TRUNC(H59*F59,2)</f>
        <v>97124.34</v>
      </c>
      <c r="J59" s="125">
        <f>I59/$I$122</f>
        <v>6.8708499784121205E-2</v>
      </c>
    </row>
    <row r="60" spans="1:10" ht="39.6">
      <c r="A60" s="5" t="s">
        <v>228</v>
      </c>
      <c r="B60" s="6">
        <v>101162</v>
      </c>
      <c r="C60" s="1" t="s">
        <v>13</v>
      </c>
      <c r="D60" s="144" t="s">
        <v>229</v>
      </c>
      <c r="E60" s="1" t="s">
        <v>10</v>
      </c>
      <c r="F60" s="7">
        <f>'Memória de Cálculo'!$I$90</f>
        <v>162.34</v>
      </c>
      <c r="G60" s="70">
        <v>131.47</v>
      </c>
      <c r="H60" s="57">
        <f t="shared" ref="H60" si="31">TRUNC(G60+G60*$E$10,2)</f>
        <v>165.96</v>
      </c>
      <c r="I60" s="58">
        <f>TRUNC(H60*F60,2)</f>
        <v>26941.94</v>
      </c>
      <c r="J60" s="125">
        <f>I60/$I$122</f>
        <v>1.9059488884802783E-2</v>
      </c>
    </row>
    <row r="61" spans="1:10" ht="14.4">
      <c r="A61" s="175" t="s">
        <v>72</v>
      </c>
      <c r="B61" s="175"/>
      <c r="C61" s="175"/>
      <c r="D61" s="175"/>
      <c r="E61" s="175"/>
      <c r="F61" s="175"/>
      <c r="G61" s="175"/>
      <c r="H61" s="175"/>
      <c r="I61" s="59">
        <f>TRUNC(SUM(I58:I60),2)</f>
        <v>131980.15</v>
      </c>
      <c r="J61" s="126">
        <f>I61/$I$122</f>
        <v>9.3366483703089087E-2</v>
      </c>
    </row>
    <row r="62" spans="1:10">
      <c r="A62" s="192"/>
      <c r="B62" s="192"/>
      <c r="C62" s="192"/>
      <c r="D62" s="192"/>
      <c r="E62" s="192"/>
      <c r="F62" s="192"/>
      <c r="G62" s="192"/>
      <c r="H62" s="192"/>
      <c r="I62" s="192"/>
      <c r="J62" s="28"/>
    </row>
    <row r="63" spans="1:10" ht="12.75" customHeight="1">
      <c r="A63" s="183" t="s">
        <v>159</v>
      </c>
      <c r="B63" s="184"/>
      <c r="C63" s="184"/>
      <c r="D63" s="184"/>
      <c r="E63" s="184"/>
      <c r="F63" s="184"/>
      <c r="G63" s="184"/>
      <c r="H63" s="184"/>
      <c r="I63" s="184">
        <f>TRUNC((SUM(I66)),2)</f>
        <v>18964.77</v>
      </c>
      <c r="J63" s="185">
        <f>I63/$I$122</f>
        <v>1.3416213643777743E-2</v>
      </c>
    </row>
    <row r="64" spans="1:10" ht="52.8">
      <c r="A64" s="5" t="s">
        <v>9</v>
      </c>
      <c r="B64" s="6">
        <v>87894</v>
      </c>
      <c r="C64" s="1" t="s">
        <v>13</v>
      </c>
      <c r="D64" s="144" t="s">
        <v>156</v>
      </c>
      <c r="E64" s="1" t="s">
        <v>2</v>
      </c>
      <c r="F64" s="7">
        <f>'Memória de Cálculo'!$I$105</f>
        <v>290.96000000000004</v>
      </c>
      <c r="G64" s="70">
        <v>6.71</v>
      </c>
      <c r="H64" s="57">
        <f t="shared" ref="H64:H65" si="32">TRUNC(G64+G64*$E$10,2)</f>
        <v>8.4700000000000006</v>
      </c>
      <c r="I64" s="58">
        <f>TRUNC(H64*F64,2)</f>
        <v>2464.4299999999998</v>
      </c>
      <c r="J64" s="125">
        <f>I64/$I$122</f>
        <v>1.7434073490021327E-3</v>
      </c>
    </row>
    <row r="65" spans="1:12" ht="66">
      <c r="A65" s="5" t="s">
        <v>17</v>
      </c>
      <c r="B65" s="6">
        <v>87530</v>
      </c>
      <c r="C65" s="1" t="s">
        <v>13</v>
      </c>
      <c r="D65" s="144" t="s">
        <v>157</v>
      </c>
      <c r="E65" s="1" t="s">
        <v>2</v>
      </c>
      <c r="F65" s="7">
        <f>'Memória de Cálculo'!$I$118</f>
        <v>290.96000000000004</v>
      </c>
      <c r="G65" s="70">
        <v>44.93</v>
      </c>
      <c r="H65" s="57">
        <f t="shared" si="32"/>
        <v>56.71</v>
      </c>
      <c r="I65" s="58">
        <f>TRUNC(H65*F65,2)</f>
        <v>16500.34</v>
      </c>
      <c r="J65" s="125">
        <f>I65/$I$122</f>
        <v>1.1672806294775609E-2</v>
      </c>
      <c r="L65">
        <f>21*40</f>
        <v>840</v>
      </c>
    </row>
    <row r="66" spans="1:12" ht="14.4">
      <c r="A66" s="175" t="s">
        <v>72</v>
      </c>
      <c r="B66" s="175"/>
      <c r="C66" s="175"/>
      <c r="D66" s="175"/>
      <c r="E66" s="175"/>
      <c r="F66" s="175"/>
      <c r="G66" s="175"/>
      <c r="H66" s="175"/>
      <c r="I66" s="59">
        <f>TRUNC(SUM(I64:I65),2)</f>
        <v>18964.77</v>
      </c>
      <c r="J66" s="126">
        <f>I66/$I$122</f>
        <v>1.3416213643777743E-2</v>
      </c>
    </row>
    <row r="67" spans="1:12">
      <c r="A67" s="192"/>
      <c r="B67" s="192"/>
      <c r="C67" s="192"/>
      <c r="D67" s="192"/>
      <c r="E67" s="192"/>
      <c r="F67" s="192"/>
      <c r="G67" s="192"/>
      <c r="H67" s="192"/>
      <c r="I67" s="192"/>
      <c r="J67" s="28"/>
    </row>
    <row r="68" spans="1:12" ht="12.75" customHeight="1">
      <c r="A68" s="183" t="s">
        <v>160</v>
      </c>
      <c r="B68" s="184"/>
      <c r="C68" s="184"/>
      <c r="D68" s="184"/>
      <c r="E68" s="184"/>
      <c r="F68" s="184"/>
      <c r="G68" s="184"/>
      <c r="H68" s="184"/>
      <c r="I68" s="184">
        <f>TRUNC((SUM(I75)),2)</f>
        <v>167173.07999999999</v>
      </c>
      <c r="J68" s="185">
        <f t="shared" ref="J68:J75" si="33">I68/$I$122</f>
        <v>0.11826295582642699</v>
      </c>
    </row>
    <row r="69" spans="1:12" ht="39.6">
      <c r="A69" s="5" t="s">
        <v>161</v>
      </c>
      <c r="B69" s="6">
        <v>97096</v>
      </c>
      <c r="C69" s="1" t="s">
        <v>13</v>
      </c>
      <c r="D69" s="144" t="s">
        <v>110</v>
      </c>
      <c r="E69" s="1" t="s">
        <v>10</v>
      </c>
      <c r="F69" s="7">
        <f>'Memória de Cálculo'!I121</f>
        <v>87.79</v>
      </c>
      <c r="G69" s="70">
        <v>567.36</v>
      </c>
      <c r="H69" s="57">
        <f t="shared" ref="H69:H71" si="34">TRUNC(G69+G69*$E$10,2)</f>
        <v>716.23</v>
      </c>
      <c r="I69" s="58">
        <f t="shared" ref="I69:I74" si="35">TRUNC(H69*F69,2)</f>
        <v>62877.83</v>
      </c>
      <c r="J69" s="125">
        <f t="shared" si="33"/>
        <v>4.4481551884738776E-2</v>
      </c>
    </row>
    <row r="70" spans="1:12" ht="26.4">
      <c r="A70" s="5" t="s">
        <v>162</v>
      </c>
      <c r="B70" s="6">
        <v>97088</v>
      </c>
      <c r="C70" s="1" t="s">
        <v>13</v>
      </c>
      <c r="D70" s="144" t="s">
        <v>211</v>
      </c>
      <c r="E70" s="1" t="s">
        <v>16</v>
      </c>
      <c r="F70" s="7">
        <f>'Memória de Cálculo'!I122</f>
        <v>608</v>
      </c>
      <c r="G70" s="70">
        <v>15.84</v>
      </c>
      <c r="H70" s="57">
        <f t="shared" ref="H70" si="36">TRUNC(G70+G70*$E$10,2)</f>
        <v>19.989999999999998</v>
      </c>
      <c r="I70" s="58">
        <f t="shared" ref="I70" si="37">TRUNC(H70*F70,2)</f>
        <v>12153.92</v>
      </c>
      <c r="J70" s="125">
        <f t="shared" si="33"/>
        <v>8.5980260941410404E-3</v>
      </c>
    </row>
    <row r="71" spans="1:12" ht="26.4">
      <c r="A71" s="5" t="s">
        <v>172</v>
      </c>
      <c r="B71" s="6">
        <v>97097</v>
      </c>
      <c r="C71" s="1" t="s">
        <v>13</v>
      </c>
      <c r="D71" s="144" t="s">
        <v>158</v>
      </c>
      <c r="E71" s="1" t="s">
        <v>2</v>
      </c>
      <c r="F71" s="7">
        <f>'Memória de Cálculo'!I123</f>
        <v>760</v>
      </c>
      <c r="G71" s="70">
        <v>40.83</v>
      </c>
      <c r="H71" s="57">
        <f t="shared" si="34"/>
        <v>51.54</v>
      </c>
      <c r="I71" s="58">
        <f t="shared" si="35"/>
        <v>39170.400000000001</v>
      </c>
      <c r="J71" s="125">
        <f t="shared" si="33"/>
        <v>2.7710246679091371E-2</v>
      </c>
      <c r="L71" s="135">
        <f>I71+I72+I73</f>
        <v>81858.080000000002</v>
      </c>
    </row>
    <row r="72" spans="1:12">
      <c r="A72" s="5" t="s">
        <v>173</v>
      </c>
      <c r="B72" s="6">
        <v>12800</v>
      </c>
      <c r="C72" s="1" t="s">
        <v>165</v>
      </c>
      <c r="D72" s="144" t="s">
        <v>163</v>
      </c>
      <c r="E72" s="1" t="s">
        <v>1</v>
      </c>
      <c r="F72" s="7">
        <f>'Memória de Cálculo'!I124</f>
        <v>608</v>
      </c>
      <c r="G72" s="70">
        <v>9.4600000000000009</v>
      </c>
      <c r="H72" s="57">
        <f t="shared" ref="H72:H73" si="38">TRUNC(G72+G72*$E$10,2)</f>
        <v>11.94</v>
      </c>
      <c r="I72" s="58">
        <f t="shared" si="35"/>
        <v>7259.52</v>
      </c>
      <c r="J72" s="125">
        <f t="shared" si="33"/>
        <v>5.1355893728886456E-3</v>
      </c>
      <c r="L72" s="135"/>
    </row>
    <row r="73" spans="1:12" ht="26.4">
      <c r="A73" s="5" t="s">
        <v>174</v>
      </c>
      <c r="B73" s="6">
        <v>98577</v>
      </c>
      <c r="C73" s="1" t="s">
        <v>13</v>
      </c>
      <c r="D73" s="144" t="s">
        <v>164</v>
      </c>
      <c r="E73" s="1" t="s">
        <v>1</v>
      </c>
      <c r="F73" s="7">
        <f>'Memória de Cálculo'!I125</f>
        <v>608</v>
      </c>
      <c r="G73" s="70">
        <v>46.16</v>
      </c>
      <c r="H73" s="57">
        <f t="shared" si="38"/>
        <v>58.27</v>
      </c>
      <c r="I73" s="58">
        <f t="shared" si="35"/>
        <v>35428.160000000003</v>
      </c>
      <c r="J73" s="125">
        <f t="shared" si="33"/>
        <v>2.506288046551268E-2</v>
      </c>
      <c r="L73" s="135"/>
    </row>
    <row r="74" spans="1:12" ht="66">
      <c r="A74" s="5" t="s">
        <v>210</v>
      </c>
      <c r="B74" s="6">
        <v>94273</v>
      </c>
      <c r="C74" s="1" t="s">
        <v>13</v>
      </c>
      <c r="D74" s="144" t="s">
        <v>188</v>
      </c>
      <c r="E74" s="1" t="s">
        <v>1</v>
      </c>
      <c r="F74" s="7">
        <f>'Memória de Cálculo'!I126</f>
        <v>136.80000000000001</v>
      </c>
      <c r="G74" s="70">
        <v>59.55</v>
      </c>
      <c r="H74" s="57">
        <f t="shared" ref="H74" si="39">TRUNC(G74+G74*$E$10,2)</f>
        <v>75.17</v>
      </c>
      <c r="I74" s="58">
        <f t="shared" si="35"/>
        <v>10283.25</v>
      </c>
      <c r="J74" s="125">
        <f t="shared" si="33"/>
        <v>7.2746613300544889E-3</v>
      </c>
    </row>
    <row r="75" spans="1:12" ht="14.4">
      <c r="A75" s="193" t="s">
        <v>72</v>
      </c>
      <c r="B75" s="194"/>
      <c r="C75" s="194"/>
      <c r="D75" s="194"/>
      <c r="E75" s="194"/>
      <c r="F75" s="194"/>
      <c r="G75" s="194"/>
      <c r="H75" s="195"/>
      <c r="I75" s="59">
        <f>TRUNC(SUM(I69:I74),2)</f>
        <v>167173.07999999999</v>
      </c>
      <c r="J75" s="126">
        <f t="shared" si="33"/>
        <v>0.11826295582642699</v>
      </c>
    </row>
    <row r="76" spans="1:12">
      <c r="A76" s="192"/>
      <c r="B76" s="192"/>
      <c r="C76" s="192"/>
      <c r="D76" s="192"/>
      <c r="E76" s="192"/>
      <c r="F76" s="192"/>
      <c r="G76" s="192"/>
      <c r="H76" s="192"/>
      <c r="I76" s="192"/>
      <c r="J76" s="28"/>
    </row>
    <row r="77" spans="1:12" ht="12.75" customHeight="1">
      <c r="A77" s="183" t="s">
        <v>265</v>
      </c>
      <c r="B77" s="184"/>
      <c r="C77" s="184"/>
      <c r="D77" s="184"/>
      <c r="E77" s="184"/>
      <c r="F77" s="184"/>
      <c r="G77" s="184"/>
      <c r="H77" s="184"/>
      <c r="I77" s="184">
        <f>TRUNC((SUM(I89)),2)</f>
        <v>712696.31999999995</v>
      </c>
      <c r="J77" s="185">
        <f t="shared" ref="J77:J88" si="40">I77/$I$122</f>
        <v>0.50418149506976284</v>
      </c>
    </row>
    <row r="78" spans="1:12" ht="39.6">
      <c r="A78" s="5" t="s">
        <v>175</v>
      </c>
      <c r="B78" s="6">
        <v>100775</v>
      </c>
      <c r="C78" s="1" t="s">
        <v>13</v>
      </c>
      <c r="D78" s="144" t="s">
        <v>232</v>
      </c>
      <c r="E78" s="1" t="s">
        <v>16</v>
      </c>
      <c r="F78" s="7">
        <f>'Memória de Cálculo'!I129</f>
        <v>25492.71</v>
      </c>
      <c r="G78" s="70">
        <v>16.440000000000001</v>
      </c>
      <c r="H78" s="57">
        <f t="shared" ref="H78:H80" si="41">TRUNC(G78+G78*$E$10,2)</f>
        <v>20.75</v>
      </c>
      <c r="I78" s="58">
        <f t="shared" ref="I78:I88" si="42">TRUNC(H78*F78,2)</f>
        <v>528973.73</v>
      </c>
      <c r="J78" s="125">
        <f t="shared" si="40"/>
        <v>0.37421094870256816</v>
      </c>
    </row>
    <row r="79" spans="1:12" ht="26.4">
      <c r="A79" s="5" t="s">
        <v>176</v>
      </c>
      <c r="B79" s="6">
        <v>94213</v>
      </c>
      <c r="C79" s="1" t="s">
        <v>13</v>
      </c>
      <c r="D79" s="144" t="s">
        <v>233</v>
      </c>
      <c r="E79" s="1" t="s">
        <v>2</v>
      </c>
      <c r="F79" s="7">
        <f>'Memória de Cálculo'!I130</f>
        <v>1644.59</v>
      </c>
      <c r="G79" s="70">
        <v>73.08</v>
      </c>
      <c r="H79" s="57">
        <f t="shared" si="41"/>
        <v>92.25</v>
      </c>
      <c r="I79" s="58">
        <f t="shared" si="42"/>
        <v>151713.42000000001</v>
      </c>
      <c r="J79" s="125">
        <f t="shared" si="40"/>
        <v>0.10732635594041916</v>
      </c>
    </row>
    <row r="80" spans="1:12" ht="39.6">
      <c r="A80" s="5" t="s">
        <v>177</v>
      </c>
      <c r="B80" s="6">
        <v>94228</v>
      </c>
      <c r="C80" s="1" t="s">
        <v>13</v>
      </c>
      <c r="D80" s="144" t="s">
        <v>234</v>
      </c>
      <c r="E80" s="1" t="s">
        <v>1</v>
      </c>
      <c r="F80" s="7">
        <f>'Memória de Cálculo'!I131</f>
        <v>85.4</v>
      </c>
      <c r="G80" s="70">
        <v>76.989999999999995</v>
      </c>
      <c r="H80" s="57">
        <f t="shared" si="41"/>
        <v>97.19</v>
      </c>
      <c r="I80" s="58">
        <f t="shared" si="42"/>
        <v>8300.02</v>
      </c>
      <c r="J80" s="125">
        <f t="shared" si="40"/>
        <v>5.8716684445752907E-3</v>
      </c>
    </row>
    <row r="81" spans="1:10">
      <c r="A81" s="5" t="s">
        <v>178</v>
      </c>
      <c r="B81" s="6" t="s">
        <v>235</v>
      </c>
      <c r="C81" s="1" t="s">
        <v>170</v>
      </c>
      <c r="D81" s="144" t="s">
        <v>236</v>
      </c>
      <c r="E81" s="1" t="s">
        <v>1</v>
      </c>
      <c r="F81" s="7">
        <f>'Memória de Cálculo'!I132</f>
        <v>42.7</v>
      </c>
      <c r="G81" s="70">
        <v>108.46</v>
      </c>
      <c r="H81" s="57">
        <f t="shared" ref="H81:H84" si="43">TRUNC(G81+G81*$E$10,2)</f>
        <v>136.91999999999999</v>
      </c>
      <c r="I81" s="58">
        <f t="shared" si="42"/>
        <v>5846.48</v>
      </c>
      <c r="J81" s="125">
        <f t="shared" si="40"/>
        <v>4.1359649889808146E-3</v>
      </c>
    </row>
    <row r="82" spans="1:10" ht="39.6">
      <c r="A82" s="5" t="s">
        <v>237</v>
      </c>
      <c r="B82" s="6">
        <v>89578</v>
      </c>
      <c r="C82" s="1" t="s">
        <v>13</v>
      </c>
      <c r="D82" s="144" t="s">
        <v>244</v>
      </c>
      <c r="E82" s="1" t="s">
        <v>1</v>
      </c>
      <c r="F82" s="7">
        <f>'Memória de Cálculo'!I133</f>
        <v>40</v>
      </c>
      <c r="G82" s="70">
        <v>35.840000000000003</v>
      </c>
      <c r="H82" s="57">
        <f t="shared" si="43"/>
        <v>45.24</v>
      </c>
      <c r="I82" s="58">
        <f t="shared" si="42"/>
        <v>1809.6</v>
      </c>
      <c r="J82" s="125">
        <f t="shared" si="40"/>
        <v>1.2801621221760243E-3</v>
      </c>
    </row>
    <row r="83" spans="1:10" ht="39.6">
      <c r="A83" s="5" t="s">
        <v>238</v>
      </c>
      <c r="B83" s="6">
        <v>89580</v>
      </c>
      <c r="C83" s="1" t="s">
        <v>13</v>
      </c>
      <c r="D83" s="144" t="s">
        <v>245</v>
      </c>
      <c r="E83" s="1" t="s">
        <v>1</v>
      </c>
      <c r="F83" s="7">
        <f>'Memória de Cálculo'!I134</f>
        <v>25</v>
      </c>
      <c r="G83" s="70">
        <v>74.319999999999993</v>
      </c>
      <c r="H83" s="57">
        <f t="shared" si="43"/>
        <v>93.82</v>
      </c>
      <c r="I83" s="58">
        <f t="shared" si="42"/>
        <v>2345.5</v>
      </c>
      <c r="J83" s="125">
        <f t="shared" si="40"/>
        <v>1.6592729097943551E-3</v>
      </c>
    </row>
    <row r="84" spans="1:10" ht="39.6">
      <c r="A84" s="5" t="s">
        <v>239</v>
      </c>
      <c r="B84" s="6">
        <v>89580</v>
      </c>
      <c r="C84" s="1" t="s">
        <v>13</v>
      </c>
      <c r="D84" s="2" t="s">
        <v>250</v>
      </c>
      <c r="E84" s="1" t="s">
        <v>1</v>
      </c>
      <c r="F84" s="7">
        <f>'Memória de Cálculo'!I135</f>
        <v>50</v>
      </c>
      <c r="G84" s="70">
        <v>74.319999999999993</v>
      </c>
      <c r="H84" s="57">
        <f t="shared" si="43"/>
        <v>93.82</v>
      </c>
      <c r="I84" s="58">
        <f t="shared" si="42"/>
        <v>4691</v>
      </c>
      <c r="J84" s="125">
        <f t="shared" si="40"/>
        <v>3.3185458195887103E-3</v>
      </c>
    </row>
    <row r="85" spans="1:10" ht="52.8">
      <c r="A85" s="5" t="s">
        <v>240</v>
      </c>
      <c r="B85" s="6">
        <v>89746</v>
      </c>
      <c r="C85" s="1" t="s">
        <v>13</v>
      </c>
      <c r="D85" s="144" t="s">
        <v>246</v>
      </c>
      <c r="E85" s="1" t="s">
        <v>104</v>
      </c>
      <c r="F85" s="7">
        <f>'Memória de Cálculo'!I136</f>
        <v>12</v>
      </c>
      <c r="G85" s="70">
        <v>30.13</v>
      </c>
      <c r="H85" s="57">
        <f t="shared" ref="H85:H87" si="44">TRUNC(G85+G85*$E$10,2)</f>
        <v>38.03</v>
      </c>
      <c r="I85" s="58">
        <f t="shared" si="42"/>
        <v>456.36</v>
      </c>
      <c r="J85" s="125">
        <f t="shared" si="40"/>
        <v>3.2284194632860883E-4</v>
      </c>
    </row>
    <row r="86" spans="1:10" ht="52.8">
      <c r="A86" s="5" t="s">
        <v>241</v>
      </c>
      <c r="B86" s="6">
        <v>89744</v>
      </c>
      <c r="C86" s="1" t="s">
        <v>13</v>
      </c>
      <c r="D86" s="144" t="s">
        <v>247</v>
      </c>
      <c r="E86" s="1" t="s">
        <v>104</v>
      </c>
      <c r="F86" s="7">
        <f>'Memória de Cálculo'!I137</f>
        <v>12</v>
      </c>
      <c r="G86" s="70">
        <v>29.21</v>
      </c>
      <c r="H86" s="57">
        <f t="shared" si="44"/>
        <v>36.869999999999997</v>
      </c>
      <c r="I86" s="58">
        <f t="shared" si="42"/>
        <v>442.44</v>
      </c>
      <c r="J86" s="125">
        <f t="shared" si="40"/>
        <v>3.1299454538879324E-4</v>
      </c>
    </row>
    <row r="87" spans="1:10" ht="39.6">
      <c r="A87" s="5" t="s">
        <v>242</v>
      </c>
      <c r="B87" s="6">
        <v>89567</v>
      </c>
      <c r="C87" s="1" t="s">
        <v>13</v>
      </c>
      <c r="D87" s="138" t="s">
        <v>248</v>
      </c>
      <c r="E87" s="1" t="s">
        <v>104</v>
      </c>
      <c r="F87" s="7">
        <f>'Memória de Cálculo'!I138</f>
        <v>3</v>
      </c>
      <c r="G87" s="70">
        <v>86.5</v>
      </c>
      <c r="H87" s="57">
        <f t="shared" si="44"/>
        <v>109.19</v>
      </c>
      <c r="I87" s="58">
        <f t="shared" si="42"/>
        <v>327.57</v>
      </c>
      <c r="J87" s="125">
        <f t="shared" si="40"/>
        <v>2.317322647884617E-4</v>
      </c>
    </row>
    <row r="88" spans="1:10" ht="39.6">
      <c r="A88" s="5" t="s">
        <v>243</v>
      </c>
      <c r="B88" s="6">
        <v>97907</v>
      </c>
      <c r="C88" s="1" t="s">
        <v>13</v>
      </c>
      <c r="D88" s="144" t="s">
        <v>249</v>
      </c>
      <c r="E88" s="1" t="s">
        <v>104</v>
      </c>
      <c r="F88" s="7">
        <f>'Memória de Cálculo'!I139</f>
        <v>10</v>
      </c>
      <c r="G88" s="70">
        <v>617.1</v>
      </c>
      <c r="H88" s="57">
        <f t="shared" ref="H88" si="45">TRUNC(G88+G88*$E$10,2)</f>
        <v>779.02</v>
      </c>
      <c r="I88" s="58">
        <f t="shared" si="42"/>
        <v>7790.2</v>
      </c>
      <c r="J88" s="125">
        <f t="shared" si="40"/>
        <v>5.5110073851545455E-3</v>
      </c>
    </row>
    <row r="89" spans="1:10" ht="14.4">
      <c r="A89" s="175" t="s">
        <v>72</v>
      </c>
      <c r="B89" s="175"/>
      <c r="C89" s="175"/>
      <c r="D89" s="175"/>
      <c r="E89" s="175"/>
      <c r="F89" s="175"/>
      <c r="G89" s="175"/>
      <c r="H89" s="175"/>
      <c r="I89" s="59">
        <f>TRUNC(SUM(I78:I88),2)</f>
        <v>712696.31999999995</v>
      </c>
      <c r="J89" s="126">
        <f>I89/$I$122</f>
        <v>0.50418149506976284</v>
      </c>
    </row>
    <row r="90" spans="1:10">
      <c r="A90" s="192"/>
      <c r="B90" s="192"/>
      <c r="C90" s="192"/>
      <c r="D90" s="192"/>
      <c r="E90" s="192"/>
      <c r="F90" s="192"/>
      <c r="G90" s="192"/>
      <c r="H90" s="192"/>
      <c r="I90" s="192"/>
      <c r="J90" s="28"/>
    </row>
    <row r="91" spans="1:10" ht="12.75" customHeight="1">
      <c r="A91" s="183" t="s">
        <v>251</v>
      </c>
      <c r="B91" s="184"/>
      <c r="C91" s="184"/>
      <c r="D91" s="184"/>
      <c r="E91" s="184"/>
      <c r="F91" s="184"/>
      <c r="G91" s="184"/>
      <c r="H91" s="184"/>
      <c r="I91" s="184">
        <f>TRUNC((SUM(I96)),2)</f>
        <v>21128.67</v>
      </c>
      <c r="J91" s="185">
        <f t="shared" ref="J91:J96" si="46">I91/$I$122</f>
        <v>1.4947017587288294E-2</v>
      </c>
    </row>
    <row r="92" spans="1:10" ht="13.2" customHeight="1">
      <c r="A92" s="5" t="s">
        <v>179</v>
      </c>
      <c r="B92" s="6">
        <v>96135</v>
      </c>
      <c r="C92" s="1" t="s">
        <v>13</v>
      </c>
      <c r="D92" s="144" t="s">
        <v>166</v>
      </c>
      <c r="E92" s="1" t="s">
        <v>2</v>
      </c>
      <c r="F92" s="7">
        <f>'Memória de Cálculo'!$I$154</f>
        <v>290.96000000000004</v>
      </c>
      <c r="G92" s="70">
        <v>25.06</v>
      </c>
      <c r="H92" s="57">
        <f t="shared" ref="H92:H95" si="47">TRUNC(G92+G92*$E$10,2)</f>
        <v>31.63</v>
      </c>
      <c r="I92" s="58">
        <f>TRUNC(H92*F92,2)</f>
        <v>9203.06</v>
      </c>
      <c r="J92" s="125">
        <f t="shared" si="46"/>
        <v>6.5105044319812566E-3</v>
      </c>
    </row>
    <row r="93" spans="1:10" ht="39.6">
      <c r="A93" s="5" t="s">
        <v>180</v>
      </c>
      <c r="B93" s="6">
        <v>88423</v>
      </c>
      <c r="C93" s="1" t="s">
        <v>13</v>
      </c>
      <c r="D93" s="144" t="s">
        <v>101</v>
      </c>
      <c r="E93" s="1" t="s">
        <v>2</v>
      </c>
      <c r="F93" s="7">
        <f>'Memória de Cálculo'!$I$167</f>
        <v>290.96000000000004</v>
      </c>
      <c r="G93" s="70">
        <v>19.78</v>
      </c>
      <c r="H93" s="57">
        <f t="shared" si="47"/>
        <v>24.97</v>
      </c>
      <c r="I93" s="58">
        <f>TRUNC(H93*F93,2)</f>
        <v>7265.27</v>
      </c>
      <c r="J93" s="125">
        <f t="shared" si="46"/>
        <v>5.1396570852021472E-3</v>
      </c>
    </row>
    <row r="94" spans="1:10" ht="39.6">
      <c r="A94" s="5" t="s">
        <v>181</v>
      </c>
      <c r="B94" s="6">
        <v>102492</v>
      </c>
      <c r="C94" s="1" t="s">
        <v>13</v>
      </c>
      <c r="D94" s="144" t="s">
        <v>212</v>
      </c>
      <c r="E94" s="1" t="s">
        <v>2</v>
      </c>
      <c r="F94" s="7">
        <f>'Memória de Cálculo'!$I$168</f>
        <v>26.83</v>
      </c>
      <c r="G94" s="70">
        <v>25.97</v>
      </c>
      <c r="H94" s="57">
        <f t="shared" si="47"/>
        <v>32.78</v>
      </c>
      <c r="I94" s="58">
        <f t="shared" ref="I94:I95" si="48">TRUNC(H94*F94,2)</f>
        <v>879.48</v>
      </c>
      <c r="J94" s="125">
        <f t="shared" si="46"/>
        <v>6.2216897834403728E-4</v>
      </c>
    </row>
    <row r="95" spans="1:10" ht="39.6">
      <c r="A95" s="5" t="s">
        <v>182</v>
      </c>
      <c r="B95" s="6">
        <v>100753</v>
      </c>
      <c r="C95" s="1" t="s">
        <v>13</v>
      </c>
      <c r="D95" s="144" t="s">
        <v>167</v>
      </c>
      <c r="E95" s="1" t="s">
        <v>2</v>
      </c>
      <c r="F95" s="7">
        <f>'Memória de Cálculo'!$I$174</f>
        <v>138.24</v>
      </c>
      <c r="G95" s="70">
        <v>21.67</v>
      </c>
      <c r="H95" s="57">
        <f t="shared" si="47"/>
        <v>27.35</v>
      </c>
      <c r="I95" s="58">
        <f t="shared" si="48"/>
        <v>3780.86</v>
      </c>
      <c r="J95" s="125">
        <f t="shared" si="46"/>
        <v>2.6746870917608552E-3</v>
      </c>
    </row>
    <row r="96" spans="1:10" ht="14.4">
      <c r="A96" s="175" t="s">
        <v>72</v>
      </c>
      <c r="B96" s="175"/>
      <c r="C96" s="175"/>
      <c r="D96" s="175"/>
      <c r="E96" s="175"/>
      <c r="F96" s="175"/>
      <c r="G96" s="175"/>
      <c r="H96" s="175"/>
      <c r="I96" s="59">
        <f>TRUNC(SUM(I92:I95),2)</f>
        <v>21128.67</v>
      </c>
      <c r="J96" s="126">
        <f t="shared" si="46"/>
        <v>1.4947017587288294E-2</v>
      </c>
    </row>
    <row r="97" spans="1:10">
      <c r="A97" s="192"/>
      <c r="B97" s="192"/>
      <c r="C97" s="192"/>
      <c r="D97" s="192"/>
      <c r="E97" s="192"/>
      <c r="F97" s="192"/>
      <c r="G97" s="192"/>
      <c r="H97" s="192"/>
      <c r="I97" s="192"/>
      <c r="J97" s="28"/>
    </row>
    <row r="98" spans="1:10" ht="12.75" customHeight="1">
      <c r="A98" s="183" t="s">
        <v>252</v>
      </c>
      <c r="B98" s="184"/>
      <c r="C98" s="184"/>
      <c r="D98" s="184"/>
      <c r="E98" s="184"/>
      <c r="F98" s="184"/>
      <c r="G98" s="184"/>
      <c r="H98" s="184"/>
      <c r="I98" s="184">
        <f>TRUNC((SUM(I103)),2)</f>
        <v>47548.5</v>
      </c>
      <c r="J98" s="185">
        <f t="shared" ref="J98:J103" si="49">I98/$I$122</f>
        <v>3.3637151119742865E-2</v>
      </c>
    </row>
    <row r="99" spans="1:10" ht="66">
      <c r="A99" s="5" t="s">
        <v>183</v>
      </c>
      <c r="B99" s="6">
        <v>102364</v>
      </c>
      <c r="C99" s="1" t="s">
        <v>13</v>
      </c>
      <c r="D99" s="144" t="s">
        <v>168</v>
      </c>
      <c r="E99" s="1" t="s">
        <v>2</v>
      </c>
      <c r="F99" s="7">
        <f>'Memória de Cálculo'!$I$182</f>
        <v>138.24</v>
      </c>
      <c r="G99" s="70">
        <v>206.91</v>
      </c>
      <c r="H99" s="57">
        <f t="shared" ref="H99:H101" si="50">TRUNC(G99+G99*$E$10,2)</f>
        <v>261.2</v>
      </c>
      <c r="I99" s="58">
        <f>TRUNC(H99*F99,2)</f>
        <v>36108.28</v>
      </c>
      <c r="J99" s="125">
        <f t="shared" si="49"/>
        <v>2.5544016552235906E-2</v>
      </c>
    </row>
    <row r="100" spans="1:10" ht="26.4">
      <c r="A100" s="5" t="s">
        <v>184</v>
      </c>
      <c r="B100" s="6" t="s">
        <v>54</v>
      </c>
      <c r="C100" s="1" t="s">
        <v>83</v>
      </c>
      <c r="D100" s="144" t="s">
        <v>109</v>
      </c>
      <c r="E100" s="1" t="s">
        <v>104</v>
      </c>
      <c r="F100" s="7">
        <f>'Memória de Cálculo'!I183</f>
        <v>2</v>
      </c>
      <c r="G100" s="70">
        <f>'Composições Unitárias'!$H$27</f>
        <v>953.23</v>
      </c>
      <c r="H100" s="57">
        <f t="shared" si="50"/>
        <v>1203.3499999999999</v>
      </c>
      <c r="I100" s="58">
        <f t="shared" ref="I100" si="51">TRUNC(H100*F100,2)</f>
        <v>2406.6999999999998</v>
      </c>
      <c r="J100" s="125">
        <f t="shared" si="49"/>
        <v>1.7025675173745786E-3</v>
      </c>
    </row>
    <row r="101" spans="1:10" ht="52.8">
      <c r="A101" s="5" t="s">
        <v>185</v>
      </c>
      <c r="B101" s="6" t="s">
        <v>171</v>
      </c>
      <c r="C101" s="1" t="s">
        <v>170</v>
      </c>
      <c r="D101" s="144" t="s">
        <v>169</v>
      </c>
      <c r="E101" s="1" t="s">
        <v>103</v>
      </c>
      <c r="F101" s="7">
        <f>'Memória de Cálculo'!I184</f>
        <v>1</v>
      </c>
      <c r="G101" s="70">
        <v>4452.67</v>
      </c>
      <c r="H101" s="57">
        <f t="shared" si="50"/>
        <v>5621.05</v>
      </c>
      <c r="I101" s="58">
        <f t="shared" ref="I101" si="52">TRUNC(H101*F101,2)</f>
        <v>5621.05</v>
      </c>
      <c r="J101" s="125">
        <f t="shared" si="49"/>
        <v>3.9764894434447069E-3</v>
      </c>
    </row>
    <row r="102" spans="1:10" ht="52.8">
      <c r="A102" s="5" t="s">
        <v>186</v>
      </c>
      <c r="B102" s="6" t="s">
        <v>197</v>
      </c>
      <c r="C102" s="1" t="s">
        <v>170</v>
      </c>
      <c r="D102" s="144" t="s">
        <v>196</v>
      </c>
      <c r="E102" s="1" t="s">
        <v>103</v>
      </c>
      <c r="F102" s="7">
        <f>'Memória de Cálculo'!I185</f>
        <v>1</v>
      </c>
      <c r="G102" s="70">
        <v>2703.16</v>
      </c>
      <c r="H102" s="57">
        <f t="shared" ref="H102" si="53">TRUNC(G102+G102*$E$10,2)</f>
        <v>3412.47</v>
      </c>
      <c r="I102" s="58">
        <f t="shared" ref="I102" si="54">TRUNC(H102*F102,2)</f>
        <v>3412.47</v>
      </c>
      <c r="J102" s="125">
        <f t="shared" si="49"/>
        <v>2.4140776066876755E-3</v>
      </c>
    </row>
    <row r="103" spans="1:10" ht="14.4">
      <c r="A103" s="175" t="s">
        <v>72</v>
      </c>
      <c r="B103" s="175"/>
      <c r="C103" s="175"/>
      <c r="D103" s="175"/>
      <c r="E103" s="175"/>
      <c r="F103" s="175"/>
      <c r="G103" s="175"/>
      <c r="H103" s="175"/>
      <c r="I103" s="59">
        <f>TRUNC(SUM(I99:I102),2)</f>
        <v>47548.5</v>
      </c>
      <c r="J103" s="126">
        <f t="shared" si="49"/>
        <v>3.3637151119742865E-2</v>
      </c>
    </row>
    <row r="104" spans="1:10">
      <c r="A104" s="192"/>
      <c r="B104" s="192"/>
      <c r="C104" s="192"/>
      <c r="D104" s="192"/>
      <c r="E104" s="192"/>
      <c r="F104" s="192"/>
      <c r="G104" s="192"/>
      <c r="H104" s="192"/>
      <c r="I104" s="192"/>
      <c r="J104" s="28"/>
    </row>
    <row r="105" spans="1:10" ht="12.75" customHeight="1">
      <c r="A105" s="183" t="s">
        <v>253</v>
      </c>
      <c r="B105" s="184"/>
      <c r="C105" s="184"/>
      <c r="D105" s="184"/>
      <c r="E105" s="184"/>
      <c r="F105" s="184"/>
      <c r="G105" s="184"/>
      <c r="H105" s="184"/>
      <c r="I105" s="184">
        <f>TRUNC((SUM(I116)),2)</f>
        <v>15130.44</v>
      </c>
      <c r="J105" s="185">
        <f t="shared" ref="J105:J111" si="55">I105/$I$122</f>
        <v>1.0703700364642466E-2</v>
      </c>
    </row>
    <row r="106" spans="1:10" ht="26.4">
      <c r="A106" s="5" t="s">
        <v>187</v>
      </c>
      <c r="B106" s="6">
        <v>12808</v>
      </c>
      <c r="C106" s="1" t="s">
        <v>165</v>
      </c>
      <c r="D106" s="144" t="s">
        <v>189</v>
      </c>
      <c r="E106" s="1" t="s">
        <v>104</v>
      </c>
      <c r="F106" s="7">
        <f>'Memória de Cálculo'!I188</f>
        <v>24</v>
      </c>
      <c r="G106" s="70">
        <v>266.12</v>
      </c>
      <c r="H106" s="57">
        <f t="shared" ref="H106:H114" si="56">TRUNC(G106+G106*$E$10,2)</f>
        <v>335.95</v>
      </c>
      <c r="I106" s="58">
        <f>TRUNC(H106*F106,2)</f>
        <v>8062.8</v>
      </c>
      <c r="J106" s="125">
        <f t="shared" si="55"/>
        <v>5.703852320225934E-3</v>
      </c>
    </row>
    <row r="107" spans="1:10" ht="26.4">
      <c r="A107" s="5" t="s">
        <v>254</v>
      </c>
      <c r="B107" s="6">
        <v>101946</v>
      </c>
      <c r="C107" s="1" t="s">
        <v>13</v>
      </c>
      <c r="D107" s="144" t="s">
        <v>113</v>
      </c>
      <c r="E107" s="1" t="s">
        <v>104</v>
      </c>
      <c r="F107" s="7">
        <f>'Memória de Cálculo'!I189</f>
        <v>1</v>
      </c>
      <c r="G107" s="70">
        <v>191.74</v>
      </c>
      <c r="H107" s="57">
        <f t="shared" si="56"/>
        <v>242.05</v>
      </c>
      <c r="I107" s="58">
        <f>TRUNC(H107*F107,2)</f>
        <v>242.05</v>
      </c>
      <c r="J107" s="125">
        <f t="shared" si="55"/>
        <v>1.7123300269269822E-4</v>
      </c>
    </row>
    <row r="108" spans="1:10" ht="52.8">
      <c r="A108" s="5" t="s">
        <v>255</v>
      </c>
      <c r="B108" s="6">
        <v>101875</v>
      </c>
      <c r="C108" s="1" t="s">
        <v>13</v>
      </c>
      <c r="D108" s="144" t="s">
        <v>190</v>
      </c>
      <c r="E108" s="1" t="s">
        <v>104</v>
      </c>
      <c r="F108" s="7">
        <f>'Memória de Cálculo'!I190</f>
        <v>1</v>
      </c>
      <c r="G108" s="70">
        <v>358.15</v>
      </c>
      <c r="H108" s="57">
        <f t="shared" si="56"/>
        <v>452.12</v>
      </c>
      <c r="I108" s="58">
        <f t="shared" ref="I108:I111" si="57">TRUNC(H108*F108,2)</f>
        <v>452.12</v>
      </c>
      <c r="J108" s="125">
        <f t="shared" si="55"/>
        <v>3.198424506400443E-4</v>
      </c>
    </row>
    <row r="109" spans="1:10" ht="26.4">
      <c r="A109" s="5" t="s">
        <v>256</v>
      </c>
      <c r="B109" s="6">
        <v>93653</v>
      </c>
      <c r="C109" s="1" t="s">
        <v>13</v>
      </c>
      <c r="D109" s="144" t="s">
        <v>283</v>
      </c>
      <c r="E109" s="1" t="s">
        <v>104</v>
      </c>
      <c r="F109" s="7">
        <f>'Memória de Cálculo'!I191</f>
        <v>6</v>
      </c>
      <c r="G109" s="70">
        <v>12.85</v>
      </c>
      <c r="H109" s="57">
        <f t="shared" si="56"/>
        <v>16.22</v>
      </c>
      <c r="I109" s="58">
        <f t="shared" si="57"/>
        <v>97.32</v>
      </c>
      <c r="J109" s="125">
        <f t="shared" si="55"/>
        <v>6.8846915191296795E-5</v>
      </c>
    </row>
    <row r="110" spans="1:10" ht="39.6">
      <c r="A110" s="5" t="s">
        <v>257</v>
      </c>
      <c r="B110" s="6">
        <v>91864</v>
      </c>
      <c r="C110" s="1" t="s">
        <v>13</v>
      </c>
      <c r="D110" s="144" t="s">
        <v>285</v>
      </c>
      <c r="E110" s="1" t="s">
        <v>1</v>
      </c>
      <c r="F110" s="7">
        <f>'Memória de Cálculo'!I192</f>
        <v>135.4</v>
      </c>
      <c r="G110" s="70">
        <v>15.38</v>
      </c>
      <c r="H110" s="57">
        <f t="shared" si="56"/>
        <v>19.41</v>
      </c>
      <c r="I110" s="58">
        <f t="shared" ref="I110" si="58">TRUNC(H110*F110,2)</f>
        <v>2628.11</v>
      </c>
      <c r="J110" s="125">
        <f t="shared" si="55"/>
        <v>1.8591992014323781E-3</v>
      </c>
    </row>
    <row r="111" spans="1:10" ht="39.6">
      <c r="A111" s="5" t="s">
        <v>258</v>
      </c>
      <c r="B111" s="6">
        <v>91865</v>
      </c>
      <c r="C111" s="1" t="s">
        <v>13</v>
      </c>
      <c r="D111" s="144" t="s">
        <v>286</v>
      </c>
      <c r="E111" s="1" t="s">
        <v>1</v>
      </c>
      <c r="F111" s="7">
        <f>'Memória de Cálculo'!I193</f>
        <v>40.74</v>
      </c>
      <c r="G111" s="70">
        <v>19.32</v>
      </c>
      <c r="H111" s="57">
        <f t="shared" ref="H111" si="59">TRUNC(G111+G111*$E$10,2)</f>
        <v>24.38</v>
      </c>
      <c r="I111" s="58">
        <f t="shared" si="57"/>
        <v>993.24</v>
      </c>
      <c r="J111" s="125">
        <f t="shared" si="55"/>
        <v>7.0264601361080597E-4</v>
      </c>
    </row>
    <row r="112" spans="1:10" ht="39.6">
      <c r="A112" s="5" t="s">
        <v>259</v>
      </c>
      <c r="B112" s="6">
        <v>93008</v>
      </c>
      <c r="C112" s="1" t="s">
        <v>13</v>
      </c>
      <c r="D112" s="144" t="s">
        <v>287</v>
      </c>
      <c r="E112" s="1" t="s">
        <v>1</v>
      </c>
      <c r="F112" s="7">
        <f>'Memória de Cálculo'!I194</f>
        <v>15.72</v>
      </c>
      <c r="G112" s="70">
        <v>19.010000000000002</v>
      </c>
      <c r="H112" s="57">
        <f t="shared" si="56"/>
        <v>23.99</v>
      </c>
      <c r="I112" s="58">
        <f t="shared" ref="I112:I113" si="60">TRUNC(H112*F112,2)</f>
        <v>377.12</v>
      </c>
      <c r="J112" s="125">
        <f t="shared" ref="J112" si="61">I112/$I$122</f>
        <v>2.6678533350741728E-4</v>
      </c>
    </row>
    <row r="113" spans="1:10" ht="39.6">
      <c r="A113" s="5" t="s">
        <v>260</v>
      </c>
      <c r="B113" s="6">
        <v>91924</v>
      </c>
      <c r="C113" s="1" t="s">
        <v>13</v>
      </c>
      <c r="D113" s="144" t="s">
        <v>215</v>
      </c>
      <c r="E113" s="1" t="s">
        <v>1</v>
      </c>
      <c r="F113" s="7">
        <f>'Memória de Cálculo'!I195</f>
        <v>465.8</v>
      </c>
      <c r="G113" s="70">
        <v>2.75</v>
      </c>
      <c r="H113" s="57">
        <f t="shared" ref="H113" si="62">TRUNC(G113+G113*$E$10,2)</f>
        <v>3.47</v>
      </c>
      <c r="I113" s="58">
        <f t="shared" si="60"/>
        <v>1616.32</v>
      </c>
      <c r="J113" s="125">
        <f>I113/$I$122</f>
        <v>1.1434303941841024E-3</v>
      </c>
    </row>
    <row r="114" spans="1:10" ht="39.6">
      <c r="A114" s="5" t="s">
        <v>261</v>
      </c>
      <c r="B114" s="6">
        <v>91928</v>
      </c>
      <c r="C114" s="1" t="s">
        <v>13</v>
      </c>
      <c r="D114" s="144" t="s">
        <v>191</v>
      </c>
      <c r="E114" s="1" t="s">
        <v>1</v>
      </c>
      <c r="F114" s="7">
        <f>'Memória de Cálculo'!I196</f>
        <v>62.88</v>
      </c>
      <c r="G114" s="70">
        <v>6.05</v>
      </c>
      <c r="H114" s="57">
        <f t="shared" si="56"/>
        <v>7.63</v>
      </c>
      <c r="I114" s="58">
        <f t="shared" ref="I114" si="63">TRUNC(H114*F114,2)</f>
        <v>479.77</v>
      </c>
      <c r="J114" s="125">
        <f>I114/$I$122</f>
        <v>3.3940284115627277E-4</v>
      </c>
    </row>
    <row r="115" spans="1:10" ht="39.6">
      <c r="A115" s="5" t="s">
        <v>262</v>
      </c>
      <c r="B115" s="6">
        <v>92979</v>
      </c>
      <c r="C115" s="1" t="s">
        <v>13</v>
      </c>
      <c r="D115" s="144" t="s">
        <v>284</v>
      </c>
      <c r="E115" s="1" t="s">
        <v>1</v>
      </c>
      <c r="F115" s="7">
        <f>'Memória de Cálculo'!I197</f>
        <v>14.8</v>
      </c>
      <c r="G115" s="70">
        <v>9.7200000000000006</v>
      </c>
      <c r="H115" s="57">
        <f t="shared" ref="H115" si="64">TRUNC(G115+G115*$E$10,2)</f>
        <v>12.27</v>
      </c>
      <c r="I115" s="58">
        <f t="shared" ref="I115" si="65">TRUNC(H115*F115,2)</f>
        <v>181.59</v>
      </c>
      <c r="J115" s="125">
        <f>I115/$I$122</f>
        <v>1.284618920015165E-4</v>
      </c>
    </row>
    <row r="116" spans="1:10" ht="14.4">
      <c r="A116" s="175" t="s">
        <v>72</v>
      </c>
      <c r="B116" s="175"/>
      <c r="C116" s="175"/>
      <c r="D116" s="175"/>
      <c r="E116" s="175"/>
      <c r="F116" s="175"/>
      <c r="G116" s="175"/>
      <c r="H116" s="175"/>
      <c r="I116" s="59">
        <f>TRUNC(SUM(I106:I115),2)</f>
        <v>15130.44</v>
      </c>
      <c r="J116" s="126">
        <f>I116/$I$122</f>
        <v>1.0703700364642466E-2</v>
      </c>
    </row>
    <row r="117" spans="1:10">
      <c r="A117" s="192"/>
      <c r="B117" s="192"/>
      <c r="C117" s="192"/>
      <c r="D117" s="192"/>
      <c r="E117" s="192"/>
      <c r="F117" s="192"/>
      <c r="G117" s="192"/>
      <c r="H117" s="192"/>
      <c r="I117" s="192"/>
      <c r="J117" s="28"/>
    </row>
    <row r="118" spans="1:10" ht="12.75" customHeight="1">
      <c r="A118" s="183" t="s">
        <v>263</v>
      </c>
      <c r="B118" s="184"/>
      <c r="C118" s="184"/>
      <c r="D118" s="184"/>
      <c r="E118" s="184"/>
      <c r="F118" s="184"/>
      <c r="G118" s="184"/>
      <c r="H118" s="184"/>
      <c r="I118" s="184">
        <f>TRUNC((SUM(I120)),2)</f>
        <v>2644.7</v>
      </c>
      <c r="J118" s="185">
        <f>I118/$I$122</f>
        <v>1.8709354357421151E-3</v>
      </c>
    </row>
    <row r="119" spans="1:10" ht="26.4">
      <c r="A119" s="5" t="s">
        <v>264</v>
      </c>
      <c r="B119" s="6">
        <v>99814</v>
      </c>
      <c r="C119" s="1" t="s">
        <v>13</v>
      </c>
      <c r="D119" s="144" t="s">
        <v>192</v>
      </c>
      <c r="E119" s="1" t="s">
        <v>2</v>
      </c>
      <c r="F119" s="7">
        <f>'Memória de Cálculo'!$I$200</f>
        <v>1097.3900000000001</v>
      </c>
      <c r="G119" s="70">
        <v>1.91</v>
      </c>
      <c r="H119" s="57">
        <f t="shared" ref="H119" si="66">TRUNC(G119+G119*$E$10,2)</f>
        <v>2.41</v>
      </c>
      <c r="I119" s="58">
        <f>TRUNC(H119*F119,2)</f>
        <v>2644.7</v>
      </c>
      <c r="J119" s="125">
        <f>I119/$I$122</f>
        <v>1.8709354357421151E-3</v>
      </c>
    </row>
    <row r="120" spans="1:10" ht="14.4">
      <c r="A120" s="175" t="s">
        <v>72</v>
      </c>
      <c r="B120" s="175"/>
      <c r="C120" s="175"/>
      <c r="D120" s="175"/>
      <c r="E120" s="175"/>
      <c r="F120" s="175"/>
      <c r="G120" s="175"/>
      <c r="H120" s="175"/>
      <c r="I120" s="59">
        <f>TRUNC(SUM(I119:I119),2)</f>
        <v>2644.7</v>
      </c>
      <c r="J120" s="126">
        <f>I120/$I$122</f>
        <v>1.8709354357421151E-3</v>
      </c>
    </row>
    <row r="121" spans="1:10">
      <c r="A121" s="192"/>
      <c r="B121" s="192"/>
      <c r="C121" s="192"/>
      <c r="D121" s="192"/>
      <c r="E121" s="192"/>
      <c r="F121" s="192"/>
      <c r="G121" s="192"/>
      <c r="H121" s="192"/>
      <c r="I121" s="192"/>
      <c r="J121" s="28"/>
    </row>
    <row r="122" spans="1:10" ht="13.8">
      <c r="A122" s="172" t="s">
        <v>73</v>
      </c>
      <c r="B122" s="172"/>
      <c r="C122" s="172"/>
      <c r="D122" s="172"/>
      <c r="E122" s="172"/>
      <c r="F122" s="172"/>
      <c r="G122" s="172"/>
      <c r="H122" s="172"/>
      <c r="I122" s="60">
        <f>TRUNC(SUM(I120,I116,I103,I96,I75,I66,I61,I55,I26,I18,I89),2)</f>
        <v>1413570.96</v>
      </c>
      <c r="J122" s="124">
        <f>TRUNC(SUM(J120,J116,J103,J96,J75,J66,J61,J55,J26,J18,J89),2)</f>
        <v>1</v>
      </c>
    </row>
    <row r="123" spans="1:10">
      <c r="A123" s="61"/>
      <c r="B123" s="61"/>
      <c r="C123" s="61"/>
      <c r="D123" s="145"/>
      <c r="E123" s="61"/>
      <c r="F123" s="61"/>
      <c r="G123" s="61"/>
      <c r="H123" s="61"/>
      <c r="I123" s="61"/>
    </row>
    <row r="124" spans="1:10">
      <c r="A124" s="61"/>
      <c r="B124" s="61"/>
      <c r="C124" s="61"/>
      <c r="D124" s="145"/>
      <c r="E124" s="61"/>
      <c r="F124" s="127"/>
      <c r="G124" s="61"/>
      <c r="H124" s="61"/>
      <c r="I124" s="61"/>
    </row>
    <row r="125" spans="1:10">
      <c r="A125" s="61"/>
      <c r="B125" s="61"/>
      <c r="C125" s="61"/>
      <c r="D125" s="145"/>
      <c r="E125" s="61"/>
      <c r="F125" s="61"/>
      <c r="G125" s="61"/>
      <c r="H125" s="61"/>
      <c r="I125" s="61"/>
    </row>
    <row r="126" spans="1:10">
      <c r="A126" s="61"/>
      <c r="B126" s="61"/>
      <c r="C126" s="61"/>
      <c r="D126" s="145"/>
      <c r="E126" s="61"/>
      <c r="F126" s="61"/>
      <c r="G126" s="61"/>
      <c r="H126" s="61"/>
      <c r="I126" s="61"/>
    </row>
    <row r="127" spans="1:10">
      <c r="A127" s="61"/>
      <c r="B127" s="61"/>
      <c r="C127" s="61"/>
      <c r="D127" s="145"/>
      <c r="E127" s="61"/>
      <c r="F127" s="61"/>
      <c r="G127" s="61"/>
      <c r="H127" s="61"/>
      <c r="I127" s="61"/>
    </row>
    <row r="128" spans="1:10">
      <c r="A128" s="61"/>
      <c r="B128" s="61"/>
      <c r="C128" s="61"/>
      <c r="D128" s="145"/>
      <c r="E128" s="61"/>
      <c r="F128" s="61"/>
      <c r="G128" s="61"/>
      <c r="H128" s="128"/>
      <c r="I128" s="61"/>
    </row>
    <row r="129" spans="1:9">
      <c r="A129" s="61"/>
      <c r="B129" s="61"/>
      <c r="C129" s="61"/>
      <c r="D129" s="145"/>
      <c r="E129" s="61"/>
      <c r="F129" s="61"/>
      <c r="G129" s="61"/>
      <c r="H129" s="61"/>
      <c r="I129" s="61"/>
    </row>
    <row r="130" spans="1:9">
      <c r="A130" s="61"/>
      <c r="B130" s="61"/>
      <c r="C130" s="61"/>
      <c r="D130" s="145"/>
      <c r="E130" s="61"/>
      <c r="F130" s="61"/>
      <c r="G130" s="61"/>
      <c r="H130" s="61"/>
      <c r="I130" s="61"/>
    </row>
    <row r="131" spans="1:9">
      <c r="A131" s="61"/>
      <c r="B131" s="61"/>
      <c r="C131" s="61"/>
      <c r="D131" s="145"/>
      <c r="E131" s="61"/>
      <c r="F131" s="61"/>
      <c r="G131" s="61"/>
      <c r="H131" s="61"/>
      <c r="I131" s="61"/>
    </row>
    <row r="132" spans="1:9">
      <c r="A132" s="61"/>
      <c r="B132" s="61"/>
      <c r="C132" s="61"/>
      <c r="D132" s="145"/>
      <c r="E132" s="61"/>
      <c r="F132" s="61"/>
      <c r="G132" s="61"/>
      <c r="H132" s="61"/>
      <c r="I132" s="61"/>
    </row>
    <row r="133" spans="1:9">
      <c r="A133" s="61"/>
      <c r="B133" s="61"/>
      <c r="C133" s="61"/>
      <c r="D133" s="145"/>
      <c r="E133" s="61"/>
      <c r="F133" s="61"/>
      <c r="G133" s="61"/>
      <c r="H133" s="61"/>
      <c r="I133" s="61"/>
    </row>
    <row r="134" spans="1:9">
      <c r="A134" s="61"/>
      <c r="B134" s="61"/>
      <c r="C134" s="61"/>
      <c r="D134" s="145"/>
      <c r="E134" s="61"/>
      <c r="F134" s="61"/>
      <c r="G134" s="61"/>
      <c r="H134" s="61"/>
      <c r="I134" s="61"/>
    </row>
    <row r="135" spans="1:9">
      <c r="A135" s="61"/>
      <c r="B135" s="61"/>
      <c r="C135" s="61"/>
      <c r="D135" s="145"/>
      <c r="E135" s="61"/>
      <c r="F135" s="61"/>
      <c r="G135" s="61"/>
      <c r="H135" s="61"/>
      <c r="I135" s="61"/>
    </row>
    <row r="136" spans="1:9">
      <c r="A136" s="61"/>
      <c r="B136" s="61"/>
      <c r="C136" s="61"/>
      <c r="D136" s="145"/>
      <c r="E136" s="61"/>
      <c r="F136" s="61"/>
      <c r="G136" s="61"/>
      <c r="H136" s="61"/>
      <c r="I136" s="61"/>
    </row>
    <row r="137" spans="1:9">
      <c r="A137" s="61"/>
      <c r="B137" s="61"/>
      <c r="C137" s="61"/>
      <c r="D137" s="145"/>
      <c r="E137" s="61"/>
      <c r="F137" s="61"/>
      <c r="G137" s="61"/>
      <c r="H137" s="61"/>
      <c r="I137" s="61"/>
    </row>
    <row r="138" spans="1:9">
      <c r="A138" s="61"/>
      <c r="B138" s="61"/>
      <c r="C138" s="61"/>
      <c r="D138" s="145"/>
      <c r="E138" s="61"/>
      <c r="F138" s="61"/>
      <c r="G138" s="61"/>
      <c r="H138" s="61"/>
      <c r="I138" s="61"/>
    </row>
    <row r="139" spans="1:9">
      <c r="A139" s="61"/>
      <c r="B139" s="61"/>
      <c r="C139" s="61"/>
      <c r="D139" s="145"/>
      <c r="E139" s="61"/>
      <c r="F139" s="61"/>
      <c r="G139" s="61"/>
      <c r="H139" s="61"/>
      <c r="I139" s="61"/>
    </row>
    <row r="140" spans="1:9">
      <c r="A140" s="61"/>
      <c r="B140" s="61"/>
      <c r="C140" s="61"/>
      <c r="D140" s="145"/>
      <c r="E140" s="61"/>
      <c r="F140" s="61"/>
      <c r="G140" s="61"/>
      <c r="H140" s="61"/>
      <c r="I140" s="61"/>
    </row>
    <row r="141" spans="1:9">
      <c r="A141" s="61"/>
      <c r="B141" s="61"/>
      <c r="C141" s="61"/>
      <c r="D141" s="145"/>
      <c r="E141" s="61"/>
      <c r="F141" s="61"/>
      <c r="G141" s="61"/>
      <c r="H141" s="61"/>
      <c r="I141" s="61"/>
    </row>
    <row r="142" spans="1:9">
      <c r="A142" s="61"/>
      <c r="B142" s="61"/>
      <c r="C142" s="61"/>
      <c r="D142" s="145"/>
      <c r="E142" s="61"/>
      <c r="F142" s="61"/>
      <c r="G142" s="61"/>
      <c r="H142" s="61"/>
      <c r="I142" s="61"/>
    </row>
    <row r="143" spans="1:9">
      <c r="A143" s="61"/>
      <c r="B143" s="61"/>
      <c r="C143" s="61"/>
      <c r="D143" s="145"/>
      <c r="E143" s="61"/>
      <c r="F143" s="61"/>
      <c r="G143" s="61"/>
      <c r="H143" s="61"/>
      <c r="I143" s="61"/>
    </row>
    <row r="144" spans="1:9">
      <c r="A144" s="61"/>
      <c r="B144" s="61"/>
      <c r="C144" s="61"/>
      <c r="D144" s="145"/>
      <c r="E144" s="61"/>
      <c r="F144" s="61"/>
      <c r="G144" s="61"/>
      <c r="H144" s="61"/>
      <c r="I144" s="61"/>
    </row>
    <row r="145" spans="1:9">
      <c r="A145" s="61"/>
      <c r="B145" s="61"/>
      <c r="C145" s="61"/>
      <c r="D145" s="145"/>
      <c r="E145" s="61"/>
      <c r="F145" s="61"/>
      <c r="G145" s="61"/>
      <c r="H145" s="61"/>
      <c r="I145" s="61"/>
    </row>
    <row r="146" spans="1:9">
      <c r="A146" s="61"/>
      <c r="B146" s="61"/>
      <c r="C146" s="61"/>
      <c r="D146" s="145"/>
      <c r="E146" s="61"/>
      <c r="F146" s="61"/>
      <c r="G146" s="61"/>
      <c r="H146" s="61"/>
      <c r="I146" s="61"/>
    </row>
    <row r="147" spans="1:9">
      <c r="A147" s="61"/>
      <c r="B147" s="61"/>
      <c r="C147" s="61"/>
      <c r="D147" s="145"/>
      <c r="E147" s="61"/>
      <c r="F147" s="61"/>
      <c r="G147" s="61"/>
      <c r="H147" s="61"/>
      <c r="I147" s="61"/>
    </row>
    <row r="148" spans="1:9">
      <c r="A148" s="61"/>
      <c r="B148" s="61"/>
      <c r="C148" s="61"/>
      <c r="D148" s="145"/>
      <c r="E148" s="61"/>
      <c r="F148" s="61"/>
      <c r="G148" s="61"/>
      <c r="H148" s="61"/>
      <c r="I148" s="61"/>
    </row>
    <row r="149" spans="1:9">
      <c r="A149" s="61"/>
      <c r="B149" s="61"/>
      <c r="C149" s="61"/>
      <c r="D149" s="145"/>
      <c r="E149" s="61"/>
      <c r="F149" s="61"/>
      <c r="G149" s="61"/>
      <c r="H149" s="61"/>
      <c r="I149" s="61"/>
    </row>
    <row r="150" spans="1:9">
      <c r="A150" s="61"/>
      <c r="B150" s="61"/>
      <c r="C150" s="61"/>
      <c r="D150" s="145"/>
      <c r="E150" s="61"/>
      <c r="F150" s="61"/>
      <c r="G150" s="61"/>
      <c r="H150" s="61"/>
      <c r="I150" s="61"/>
    </row>
    <row r="151" spans="1:9">
      <c r="A151" s="61"/>
      <c r="B151" s="61"/>
      <c r="C151" s="61"/>
      <c r="D151" s="145"/>
      <c r="E151" s="61"/>
      <c r="F151" s="61"/>
      <c r="G151" s="61"/>
      <c r="H151" s="61"/>
      <c r="I151" s="61"/>
    </row>
    <row r="152" spans="1:9">
      <c r="A152" s="61"/>
      <c r="B152" s="61"/>
      <c r="C152" s="61"/>
      <c r="D152" s="145"/>
      <c r="E152" s="61"/>
      <c r="F152" s="61"/>
      <c r="G152" s="61"/>
      <c r="H152" s="61"/>
      <c r="I152" s="61"/>
    </row>
    <row r="153" spans="1:9">
      <c r="A153" s="61"/>
      <c r="B153" s="61"/>
      <c r="C153" s="61"/>
      <c r="D153" s="145"/>
      <c r="E153" s="61"/>
      <c r="F153" s="61"/>
      <c r="G153" s="61"/>
      <c r="H153" s="61"/>
      <c r="I153" s="61"/>
    </row>
    <row r="154" spans="1:9">
      <c r="A154" s="61"/>
      <c r="B154" s="61"/>
      <c r="C154" s="61"/>
      <c r="D154" s="145"/>
      <c r="E154" s="61"/>
      <c r="F154" s="61"/>
      <c r="G154" s="61"/>
      <c r="H154" s="61"/>
      <c r="I154" s="61"/>
    </row>
    <row r="155" spans="1:9">
      <c r="A155" s="61"/>
      <c r="B155" s="61"/>
      <c r="C155" s="61"/>
      <c r="D155" s="145"/>
      <c r="E155" s="61"/>
      <c r="F155" s="61"/>
      <c r="G155" s="61"/>
      <c r="H155" s="61"/>
      <c r="I155" s="61"/>
    </row>
    <row r="156" spans="1:9">
      <c r="A156" s="61"/>
      <c r="B156" s="61"/>
      <c r="C156" s="61"/>
      <c r="D156" s="145"/>
      <c r="E156" s="61"/>
      <c r="F156" s="61"/>
      <c r="G156" s="61"/>
      <c r="H156" s="61"/>
      <c r="I156" s="61"/>
    </row>
    <row r="157" spans="1:9">
      <c r="A157" s="61"/>
      <c r="B157" s="61"/>
      <c r="C157" s="61"/>
      <c r="D157" s="145"/>
      <c r="E157" s="61"/>
      <c r="F157" s="61"/>
      <c r="G157" s="61"/>
      <c r="H157" s="61"/>
      <c r="I157" s="61"/>
    </row>
    <row r="158" spans="1:9">
      <c r="A158" s="61"/>
      <c r="B158" s="61"/>
      <c r="C158" s="61"/>
      <c r="D158" s="145"/>
      <c r="E158" s="61"/>
      <c r="F158" s="61"/>
      <c r="G158" s="61"/>
      <c r="H158" s="61"/>
      <c r="I158" s="61"/>
    </row>
    <row r="159" spans="1:9">
      <c r="A159" s="61"/>
      <c r="B159" s="61"/>
      <c r="C159" s="61"/>
      <c r="D159" s="145"/>
      <c r="E159" s="61"/>
      <c r="F159" s="61"/>
      <c r="G159" s="61"/>
      <c r="H159" s="61"/>
      <c r="I159" s="61"/>
    </row>
    <row r="160" spans="1:9">
      <c r="A160" s="61"/>
      <c r="B160" s="61"/>
      <c r="C160" s="61"/>
      <c r="D160" s="145"/>
      <c r="E160" s="61"/>
      <c r="F160" s="61"/>
      <c r="G160" s="61"/>
      <c r="H160" s="61"/>
      <c r="I160" s="61"/>
    </row>
    <row r="161" spans="1:9">
      <c r="A161" s="61"/>
      <c r="B161" s="61"/>
      <c r="C161" s="61"/>
      <c r="D161" s="145"/>
      <c r="E161" s="61"/>
      <c r="F161" s="61"/>
      <c r="G161" s="61"/>
      <c r="H161" s="61"/>
      <c r="I161" s="61"/>
    </row>
    <row r="162" spans="1:9">
      <c r="A162" s="61"/>
      <c r="B162" s="61"/>
      <c r="C162" s="61"/>
      <c r="D162" s="145"/>
      <c r="E162" s="61"/>
      <c r="F162" s="61"/>
      <c r="G162" s="61"/>
      <c r="H162" s="61"/>
      <c r="I162" s="61"/>
    </row>
    <row r="163" spans="1:9">
      <c r="A163" s="61"/>
      <c r="B163" s="61"/>
      <c r="C163" s="61"/>
      <c r="D163" s="145"/>
      <c r="E163" s="61"/>
      <c r="F163" s="61"/>
      <c r="G163" s="61"/>
      <c r="H163" s="61"/>
      <c r="I163" s="61"/>
    </row>
    <row r="164" spans="1:9">
      <c r="A164" s="61"/>
      <c r="B164" s="61"/>
      <c r="C164" s="61"/>
      <c r="D164" s="145"/>
      <c r="E164" s="61"/>
      <c r="F164" s="61"/>
      <c r="G164" s="61"/>
      <c r="H164" s="61"/>
      <c r="I164" s="61"/>
    </row>
    <row r="165" spans="1:9">
      <c r="A165" s="61"/>
      <c r="B165" s="61"/>
      <c r="C165" s="61"/>
      <c r="D165" s="145"/>
      <c r="E165" s="61"/>
      <c r="F165" s="61"/>
      <c r="G165" s="61"/>
      <c r="H165" s="61"/>
      <c r="I165" s="61"/>
    </row>
    <row r="166" spans="1:9">
      <c r="A166" s="61"/>
      <c r="B166" s="61"/>
      <c r="C166" s="61"/>
      <c r="D166" s="145"/>
      <c r="E166" s="61"/>
      <c r="F166" s="61"/>
      <c r="G166" s="61"/>
      <c r="H166" s="61"/>
      <c r="I166" s="61"/>
    </row>
    <row r="167" spans="1:9">
      <c r="A167" s="61"/>
      <c r="B167" s="61"/>
      <c r="C167" s="61"/>
      <c r="D167" s="145"/>
      <c r="E167" s="61"/>
      <c r="F167" s="61"/>
      <c r="G167" s="61"/>
      <c r="H167" s="61"/>
      <c r="I167" s="61"/>
    </row>
    <row r="168" spans="1:9">
      <c r="A168" s="61"/>
      <c r="B168" s="61"/>
      <c r="C168" s="61"/>
      <c r="D168" s="145"/>
      <c r="E168" s="61"/>
      <c r="F168" s="61"/>
      <c r="G168" s="61"/>
      <c r="H168" s="61"/>
      <c r="I168" s="61"/>
    </row>
    <row r="169" spans="1:9">
      <c r="A169" s="61"/>
      <c r="B169" s="61"/>
      <c r="C169" s="61"/>
      <c r="D169" s="145"/>
      <c r="E169" s="61"/>
      <c r="F169" s="61"/>
      <c r="G169" s="61"/>
      <c r="H169" s="61"/>
      <c r="I169" s="61"/>
    </row>
    <row r="170" spans="1:9">
      <c r="A170" s="61"/>
      <c r="B170" s="61"/>
      <c r="C170" s="61"/>
      <c r="D170" s="145"/>
      <c r="E170" s="61"/>
      <c r="F170" s="61"/>
      <c r="G170" s="61"/>
      <c r="H170" s="61"/>
      <c r="I170" s="61"/>
    </row>
    <row r="171" spans="1:9">
      <c r="A171" s="61"/>
      <c r="B171" s="61"/>
      <c r="C171" s="61"/>
      <c r="D171" s="145"/>
      <c r="E171" s="61"/>
      <c r="F171" s="61"/>
      <c r="G171" s="61"/>
      <c r="H171" s="61"/>
      <c r="I171" s="61"/>
    </row>
    <row r="172" spans="1:9">
      <c r="A172" s="61"/>
      <c r="B172" s="61"/>
      <c r="C172" s="61"/>
      <c r="D172" s="145"/>
      <c r="E172" s="61"/>
      <c r="F172" s="61"/>
      <c r="G172" s="61"/>
      <c r="H172" s="61"/>
      <c r="I172" s="61"/>
    </row>
    <row r="173" spans="1:9">
      <c r="A173" s="61"/>
      <c r="B173" s="61"/>
      <c r="C173" s="61"/>
      <c r="D173" s="145"/>
      <c r="E173" s="61"/>
      <c r="F173" s="61"/>
      <c r="G173" s="61"/>
      <c r="H173" s="61"/>
      <c r="I173" s="61"/>
    </row>
    <row r="174" spans="1:9">
      <c r="A174" s="61"/>
      <c r="B174" s="61"/>
      <c r="C174" s="61"/>
      <c r="D174" s="145"/>
      <c r="E174" s="61"/>
      <c r="F174" s="61"/>
      <c r="G174" s="61"/>
      <c r="H174" s="61"/>
      <c r="I174" s="61"/>
    </row>
    <row r="175" spans="1:9">
      <c r="A175" s="61"/>
      <c r="B175" s="61"/>
      <c r="C175" s="61"/>
      <c r="D175" s="145"/>
      <c r="E175" s="61"/>
      <c r="F175" s="61"/>
      <c r="G175" s="61"/>
      <c r="H175" s="61"/>
      <c r="I175" s="61"/>
    </row>
    <row r="176" spans="1:9">
      <c r="A176" s="61"/>
      <c r="B176" s="61"/>
      <c r="C176" s="61"/>
      <c r="D176" s="145"/>
      <c r="E176" s="61"/>
      <c r="F176" s="61"/>
      <c r="G176" s="61"/>
      <c r="H176" s="61"/>
      <c r="I176" s="61"/>
    </row>
    <row r="177" spans="1:9">
      <c r="A177" s="61"/>
      <c r="B177" s="61"/>
      <c r="C177" s="61"/>
      <c r="D177" s="145"/>
      <c r="E177" s="61"/>
      <c r="F177" s="61"/>
      <c r="G177" s="61"/>
      <c r="H177" s="61"/>
      <c r="I177" s="61"/>
    </row>
    <row r="178" spans="1:9">
      <c r="A178" s="61"/>
      <c r="B178" s="61"/>
      <c r="C178" s="61"/>
      <c r="D178" s="145"/>
      <c r="E178" s="61"/>
      <c r="F178" s="61"/>
      <c r="G178" s="61"/>
      <c r="H178" s="61"/>
      <c r="I178" s="61"/>
    </row>
    <row r="179" spans="1:9">
      <c r="A179" s="61"/>
      <c r="B179" s="61"/>
      <c r="C179" s="61"/>
      <c r="D179" s="145"/>
      <c r="E179" s="61"/>
      <c r="F179" s="61"/>
      <c r="G179" s="61"/>
      <c r="H179" s="61"/>
      <c r="I179" s="61"/>
    </row>
    <row r="180" spans="1:9">
      <c r="A180" s="61"/>
      <c r="B180" s="61"/>
      <c r="C180" s="61"/>
      <c r="D180" s="145"/>
      <c r="E180" s="61"/>
      <c r="F180" s="61"/>
      <c r="G180" s="61"/>
      <c r="H180" s="61"/>
      <c r="I180" s="61"/>
    </row>
    <row r="181" spans="1:9">
      <c r="A181" s="61"/>
      <c r="B181" s="61"/>
      <c r="C181" s="61"/>
      <c r="D181" s="145"/>
      <c r="E181" s="61"/>
      <c r="F181" s="61"/>
      <c r="G181" s="61"/>
      <c r="H181" s="61"/>
      <c r="I181" s="61"/>
    </row>
    <row r="182" spans="1:9">
      <c r="A182" s="61"/>
      <c r="B182" s="61"/>
      <c r="C182" s="61"/>
      <c r="D182" s="145"/>
      <c r="E182" s="61"/>
      <c r="F182" s="61"/>
      <c r="G182" s="61"/>
      <c r="H182" s="61"/>
      <c r="I182" s="61"/>
    </row>
    <row r="183" spans="1:9">
      <c r="A183" s="61"/>
      <c r="B183" s="61"/>
      <c r="C183" s="61"/>
      <c r="D183" s="145"/>
      <c r="E183" s="61"/>
      <c r="F183" s="61"/>
      <c r="G183" s="61"/>
      <c r="H183" s="61"/>
      <c r="I183" s="61"/>
    </row>
    <row r="184" spans="1:9">
      <c r="A184" s="61"/>
      <c r="B184" s="61"/>
      <c r="C184" s="61"/>
      <c r="D184" s="145"/>
      <c r="E184" s="61"/>
      <c r="F184" s="61"/>
      <c r="G184" s="61"/>
      <c r="H184" s="61"/>
      <c r="I184" s="61"/>
    </row>
    <row r="185" spans="1:9">
      <c r="A185" s="61"/>
      <c r="B185" s="61"/>
      <c r="C185" s="61"/>
      <c r="D185" s="145"/>
      <c r="E185" s="61"/>
      <c r="F185" s="61"/>
      <c r="G185" s="61"/>
      <c r="H185" s="61"/>
      <c r="I185" s="61"/>
    </row>
    <row r="186" spans="1:9">
      <c r="A186" s="61"/>
      <c r="B186" s="61"/>
      <c r="C186" s="61"/>
      <c r="D186" s="145"/>
      <c r="E186" s="61"/>
      <c r="F186" s="61"/>
      <c r="G186" s="61"/>
      <c r="H186" s="61"/>
      <c r="I186" s="61"/>
    </row>
    <row r="187" spans="1:9">
      <c r="A187" s="61"/>
      <c r="B187" s="61"/>
      <c r="C187" s="61"/>
      <c r="D187" s="145"/>
      <c r="E187" s="61"/>
      <c r="F187" s="61"/>
      <c r="G187" s="61"/>
      <c r="H187" s="61"/>
      <c r="I187" s="61"/>
    </row>
    <row r="188" spans="1:9">
      <c r="A188" s="61"/>
      <c r="B188" s="61"/>
      <c r="C188" s="61"/>
      <c r="D188" s="145"/>
      <c r="E188" s="61"/>
      <c r="F188" s="61"/>
      <c r="G188" s="61"/>
      <c r="H188" s="61"/>
      <c r="I188" s="61"/>
    </row>
    <row r="189" spans="1:9">
      <c r="A189" s="61"/>
      <c r="B189" s="61"/>
      <c r="C189" s="61"/>
      <c r="D189" s="145"/>
      <c r="E189" s="61"/>
      <c r="F189" s="61"/>
      <c r="G189" s="61"/>
      <c r="H189" s="61"/>
      <c r="I189" s="61"/>
    </row>
    <row r="190" spans="1:9">
      <c r="A190" s="61"/>
      <c r="B190" s="61"/>
      <c r="C190" s="61"/>
      <c r="D190" s="145"/>
      <c r="E190" s="61"/>
      <c r="F190" s="61"/>
      <c r="G190" s="61"/>
      <c r="H190" s="61"/>
      <c r="I190" s="61"/>
    </row>
  </sheetData>
  <mergeCells count="47">
    <mergeCell ref="A46:H46"/>
    <mergeCell ref="A53:H53"/>
    <mergeCell ref="A55:H55"/>
    <mergeCell ref="A56:I56"/>
    <mergeCell ref="A120:H120"/>
    <mergeCell ref="A77:J77"/>
    <mergeCell ref="A89:H89"/>
    <mergeCell ref="A90:I90"/>
    <mergeCell ref="A121:I121"/>
    <mergeCell ref="A96:H96"/>
    <mergeCell ref="A97:I97"/>
    <mergeCell ref="A117:I117"/>
    <mergeCell ref="A98:J98"/>
    <mergeCell ref="A105:J105"/>
    <mergeCell ref="A118:J118"/>
    <mergeCell ref="H10:J10"/>
    <mergeCell ref="A104:I104"/>
    <mergeCell ref="A116:H116"/>
    <mergeCell ref="A61:H61"/>
    <mergeCell ref="A62:I62"/>
    <mergeCell ref="A75:H75"/>
    <mergeCell ref="A76:I76"/>
    <mergeCell ref="A68:J68"/>
    <mergeCell ref="A91:J91"/>
    <mergeCell ref="A20:J20"/>
    <mergeCell ref="A14:J14"/>
    <mergeCell ref="A66:H66"/>
    <mergeCell ref="A67:I67"/>
    <mergeCell ref="A29:H29"/>
    <mergeCell ref="A28:J28"/>
    <mergeCell ref="A39:H39"/>
    <mergeCell ref="A1:J1"/>
    <mergeCell ref="A2:J2"/>
    <mergeCell ref="A3:B3"/>
    <mergeCell ref="D4:G4"/>
    <mergeCell ref="A122:H122"/>
    <mergeCell ref="A11:J12"/>
    <mergeCell ref="A26:H26"/>
    <mergeCell ref="A19:J19"/>
    <mergeCell ref="A103:H103"/>
    <mergeCell ref="A18:H18"/>
    <mergeCell ref="A27:J27"/>
    <mergeCell ref="E9:F9"/>
    <mergeCell ref="E10:F10"/>
    <mergeCell ref="A57:J57"/>
    <mergeCell ref="A63:J63"/>
    <mergeCell ref="H9:J9"/>
  </mergeCells>
  <phoneticPr fontId="59" type="noConversion"/>
  <conditionalFormatting sqref="C3 E3:I3 A3:A4 D3:D4 B6:C6 E6:I6 A6:A7 D6:D7 D8:I8 B8:C9 H9 D9:E10 G9:G10 A9:A11">
    <cfRule type="cellIs" dxfId="11" priority="3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7" fitToHeight="0" orientation="landscape" horizontalDpi="360" verticalDpi="360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"/>
  <sheetViews>
    <sheetView view="pageBreakPreview" zoomScaleNormal="85" zoomScaleSheetLayoutView="100" workbookViewId="0">
      <selection activeCell="C10" sqref="C10:I10"/>
    </sheetView>
  </sheetViews>
  <sheetFormatPr defaultRowHeight="13.2"/>
  <cols>
    <col min="1" max="1" width="8.33203125" bestFit="1" customWidth="1"/>
    <col min="2" max="2" width="58.44140625" customWidth="1"/>
    <col min="3" max="3" width="10.33203125" customWidth="1"/>
    <col min="4" max="4" width="15.88671875" bestFit="1" customWidth="1"/>
    <col min="5" max="5" width="10" customWidth="1"/>
    <col min="6" max="6" width="13.5546875" customWidth="1"/>
    <col min="7" max="8" width="13.44140625" customWidth="1"/>
    <col min="9" max="9" width="16.109375" bestFit="1" customWidth="1"/>
    <col min="11" max="11" width="13.44140625" bestFit="1" customWidth="1"/>
    <col min="12" max="12" width="11.33203125" customWidth="1"/>
  </cols>
  <sheetData>
    <row r="1" spans="1:12" ht="24.75" customHeight="1">
      <c r="A1" s="164" t="s">
        <v>55</v>
      </c>
      <c r="B1" s="165"/>
      <c r="C1" s="165"/>
      <c r="D1" s="165"/>
      <c r="E1" s="165"/>
      <c r="F1" s="165"/>
      <c r="G1" s="165"/>
      <c r="H1" s="165"/>
      <c r="I1" s="165"/>
      <c r="J1" s="63"/>
      <c r="K1" s="63"/>
    </row>
    <row r="2" spans="1:12" ht="15" customHeight="1">
      <c r="A2" s="166" t="s">
        <v>290</v>
      </c>
      <c r="B2" s="167"/>
      <c r="C2" s="167"/>
      <c r="D2" s="167"/>
      <c r="E2" s="167"/>
      <c r="F2" s="167"/>
      <c r="G2" s="167"/>
      <c r="H2" s="167"/>
      <c r="I2" s="167"/>
      <c r="J2" s="64"/>
      <c r="K2" s="64"/>
    </row>
    <row r="3" spans="1:12" ht="15" customHeight="1">
      <c r="A3" s="168" t="s">
        <v>56</v>
      </c>
      <c r="B3" s="169"/>
      <c r="C3" s="34" t="s">
        <v>57</v>
      </c>
      <c r="D3" s="33"/>
      <c r="E3" s="33"/>
      <c r="F3" s="33"/>
      <c r="G3" s="35"/>
      <c r="H3" s="35"/>
      <c r="I3" s="32"/>
    </row>
    <row r="4" spans="1:12" ht="27" customHeight="1">
      <c r="A4" s="36"/>
      <c r="B4" s="37"/>
      <c r="C4" s="170" t="s">
        <v>226</v>
      </c>
      <c r="D4" s="171"/>
      <c r="E4" s="171"/>
      <c r="F4" s="171"/>
      <c r="G4" s="171"/>
      <c r="H4" s="39"/>
      <c r="I4" s="40"/>
    </row>
    <row r="5" spans="1:12" ht="15" customHeight="1">
      <c r="A5" s="41"/>
      <c r="C5" s="43"/>
      <c r="D5" s="43"/>
      <c r="E5" s="43"/>
      <c r="I5" s="44"/>
    </row>
    <row r="6" spans="1:12">
      <c r="A6" s="45" t="s">
        <v>58</v>
      </c>
      <c r="B6" s="33"/>
      <c r="C6" s="46" t="s">
        <v>59</v>
      </c>
      <c r="D6" s="33"/>
      <c r="E6" s="33"/>
      <c r="F6" s="33"/>
      <c r="G6" s="33"/>
      <c r="H6" s="33"/>
      <c r="I6" s="32"/>
    </row>
    <row r="7" spans="1:12" ht="14.4">
      <c r="A7" s="36"/>
      <c r="B7" s="47"/>
      <c r="C7" s="38" t="s">
        <v>55</v>
      </c>
      <c r="D7" s="39"/>
      <c r="E7" s="39"/>
      <c r="F7" s="39"/>
      <c r="G7" s="39"/>
      <c r="H7" s="39"/>
      <c r="I7" s="40"/>
      <c r="L7" s="65"/>
    </row>
    <row r="8" spans="1:12">
      <c r="A8" s="41"/>
      <c r="B8" s="33"/>
      <c r="C8" s="33"/>
      <c r="D8" s="33"/>
      <c r="E8" s="33"/>
      <c r="F8" s="33"/>
      <c r="G8" s="33"/>
      <c r="H8" s="33"/>
      <c r="I8" s="44"/>
    </row>
    <row r="9" spans="1:12">
      <c r="A9" s="45" t="s">
        <v>82</v>
      </c>
      <c r="B9" s="33"/>
      <c r="C9" s="199" t="s">
        <v>60</v>
      </c>
      <c r="D9" s="169"/>
      <c r="E9" s="169"/>
      <c r="F9" s="169"/>
      <c r="G9" s="169"/>
      <c r="H9" s="169"/>
      <c r="I9" s="200"/>
    </row>
    <row r="10" spans="1:12" ht="25.5" customHeight="1">
      <c r="A10" s="52"/>
      <c r="B10" s="39"/>
      <c r="C10" s="201" t="s">
        <v>291</v>
      </c>
      <c r="D10" s="202"/>
      <c r="E10" s="202"/>
      <c r="F10" s="202"/>
      <c r="G10" s="202"/>
      <c r="H10" s="202"/>
      <c r="I10" s="203"/>
    </row>
    <row r="11" spans="1:12">
      <c r="A11" s="208" t="s">
        <v>74</v>
      </c>
      <c r="B11" s="208"/>
      <c r="C11" s="208"/>
      <c r="D11" s="208"/>
      <c r="E11" s="208"/>
      <c r="F11" s="208"/>
      <c r="G11" s="208"/>
      <c r="H11" s="208"/>
      <c r="I11" s="208"/>
    </row>
    <row r="12" spans="1:12" ht="15" customHeight="1">
      <c r="A12" s="209"/>
      <c r="B12" s="209"/>
      <c r="C12" s="209"/>
      <c r="D12" s="209"/>
      <c r="E12" s="209"/>
      <c r="F12" s="209"/>
      <c r="G12" s="209"/>
      <c r="H12" s="209"/>
      <c r="I12" s="209"/>
    </row>
    <row r="13" spans="1:12" ht="36.6" customHeight="1">
      <c r="A13" s="53" t="s">
        <v>0</v>
      </c>
      <c r="B13" s="53" t="s">
        <v>66</v>
      </c>
      <c r="C13" s="54" t="s">
        <v>67</v>
      </c>
      <c r="D13" s="54" t="s">
        <v>75</v>
      </c>
      <c r="E13" s="54" t="s">
        <v>76</v>
      </c>
      <c r="F13" s="54" t="s">
        <v>77</v>
      </c>
      <c r="G13" s="54" t="s">
        <v>92</v>
      </c>
      <c r="H13" s="66" t="s">
        <v>204</v>
      </c>
      <c r="I13" s="66" t="s">
        <v>78</v>
      </c>
    </row>
    <row r="14" spans="1:12">
      <c r="A14" s="198" t="s">
        <v>96</v>
      </c>
      <c r="B14" s="198"/>
      <c r="C14" s="198"/>
      <c r="D14" s="198"/>
      <c r="E14" s="198"/>
      <c r="F14" s="198"/>
      <c r="G14" s="198"/>
      <c r="H14" s="198"/>
      <c r="I14" s="198"/>
    </row>
    <row r="15" spans="1:12" ht="39" customHeight="1">
      <c r="A15" s="55" t="s">
        <v>3</v>
      </c>
      <c r="B15" s="4" t="s">
        <v>120</v>
      </c>
      <c r="C15" s="3" t="s">
        <v>2</v>
      </c>
      <c r="D15" s="148">
        <v>3</v>
      </c>
      <c r="E15" s="149"/>
      <c r="F15" s="149">
        <v>2</v>
      </c>
      <c r="G15" s="151"/>
      <c r="H15" s="149"/>
      <c r="I15" s="56">
        <f>TRUNC(PRODUCT(D15:G15)-H15,2)</f>
        <v>6</v>
      </c>
    </row>
    <row r="16" spans="1:12" ht="46.2" customHeight="1">
      <c r="A16" s="55" t="s">
        <v>4</v>
      </c>
      <c r="B16" s="4" t="s">
        <v>121</v>
      </c>
      <c r="C16" s="3" t="s">
        <v>2</v>
      </c>
      <c r="D16" s="148">
        <v>43</v>
      </c>
      <c r="E16" s="149">
        <v>26</v>
      </c>
      <c r="F16" s="149"/>
      <c r="G16" s="151"/>
      <c r="H16" s="149"/>
      <c r="I16" s="56">
        <f t="shared" ref="I16" si="0">TRUNC(PRODUCT(D16:G16)-H16,2)</f>
        <v>1118</v>
      </c>
    </row>
    <row r="17" spans="1:11" ht="47.4" customHeight="1">
      <c r="A17" s="55" t="s">
        <v>11</v>
      </c>
      <c r="B17" s="4" t="s">
        <v>200</v>
      </c>
      <c r="C17" s="3" t="s">
        <v>1</v>
      </c>
      <c r="D17" s="148">
        <v>50</v>
      </c>
      <c r="E17" s="149">
        <v>30</v>
      </c>
      <c r="F17" s="149"/>
      <c r="G17" s="151"/>
      <c r="H17" s="149"/>
      <c r="I17" s="56">
        <f>TRUNC(2*(D17+E17),2)</f>
        <v>160</v>
      </c>
    </row>
    <row r="18" spans="1:11" ht="13.8">
      <c r="A18" s="210"/>
      <c r="B18" s="210"/>
      <c r="C18" s="210"/>
      <c r="D18" s="210"/>
      <c r="E18" s="210"/>
      <c r="F18" s="210"/>
      <c r="G18" s="210"/>
      <c r="H18" s="210"/>
      <c r="I18" s="210"/>
      <c r="K18" s="62"/>
    </row>
    <row r="19" spans="1:11" ht="16.5" customHeight="1">
      <c r="A19" s="198" t="s">
        <v>115</v>
      </c>
      <c r="B19" s="198"/>
      <c r="C19" s="198"/>
      <c r="D19" s="198"/>
      <c r="E19" s="198"/>
      <c r="F19" s="198"/>
      <c r="G19" s="198"/>
      <c r="H19" s="198"/>
      <c r="I19" s="198"/>
    </row>
    <row r="20" spans="1:11" ht="26.4">
      <c r="A20" s="55" t="s">
        <v>5</v>
      </c>
      <c r="B20" s="4" t="s">
        <v>122</v>
      </c>
      <c r="C20" s="3" t="s">
        <v>2</v>
      </c>
      <c r="D20" s="148">
        <v>43</v>
      </c>
      <c r="E20" s="149">
        <v>26</v>
      </c>
      <c r="F20" s="133"/>
      <c r="G20" s="150"/>
      <c r="H20" s="150"/>
      <c r="I20" s="56">
        <f t="shared" ref="I20:I35" si="1">TRUNC(PRODUCT(D20:G20)-H20,2)</f>
        <v>1118</v>
      </c>
    </row>
    <row r="21" spans="1:11" ht="39.6">
      <c r="A21" s="55" t="s">
        <v>6</v>
      </c>
      <c r="B21" s="4" t="s">
        <v>198</v>
      </c>
      <c r="C21" s="3" t="s">
        <v>10</v>
      </c>
      <c r="D21" s="132">
        <f>D20+D20+E20+E20</f>
        <v>138</v>
      </c>
      <c r="E21" s="133">
        <v>0.2</v>
      </c>
      <c r="F21" s="133">
        <v>0.4</v>
      </c>
      <c r="G21" s="150"/>
      <c r="H21" s="150"/>
      <c r="I21" s="56">
        <f t="shared" si="1"/>
        <v>11.04</v>
      </c>
    </row>
    <row r="22" spans="1:11" ht="39.6">
      <c r="A22" s="55" t="s">
        <v>95</v>
      </c>
      <c r="B22" s="4" t="s">
        <v>123</v>
      </c>
      <c r="C22" s="3" t="s">
        <v>10</v>
      </c>
      <c r="D22" s="132"/>
      <c r="E22" s="133"/>
      <c r="F22" s="133"/>
      <c r="G22" s="150"/>
      <c r="H22" s="150"/>
      <c r="I22" s="56"/>
    </row>
    <row r="23" spans="1:11">
      <c r="A23" s="55"/>
      <c r="B23" s="4"/>
      <c r="C23" s="3"/>
      <c r="D23" s="132"/>
      <c r="E23" s="133"/>
      <c r="F23" s="133"/>
      <c r="G23" s="150"/>
      <c r="H23" s="150"/>
      <c r="I23" s="56"/>
    </row>
    <row r="24" spans="1:11">
      <c r="A24" s="55"/>
      <c r="B24" s="152" t="s">
        <v>266</v>
      </c>
      <c r="C24" s="3"/>
      <c r="D24" s="132">
        <v>2.35</v>
      </c>
      <c r="E24" s="133">
        <v>2.75</v>
      </c>
      <c r="F24" s="133">
        <v>1.5</v>
      </c>
      <c r="G24" s="150">
        <v>4</v>
      </c>
      <c r="H24" s="150"/>
      <c r="I24" s="56">
        <f t="shared" si="1"/>
        <v>38.770000000000003</v>
      </c>
    </row>
    <row r="25" spans="1:11">
      <c r="A25" s="55"/>
      <c r="B25" s="152" t="s">
        <v>267</v>
      </c>
      <c r="C25" s="3"/>
      <c r="D25" s="132">
        <v>0.8</v>
      </c>
      <c r="E25" s="133">
        <v>1.2</v>
      </c>
      <c r="F25" s="133">
        <v>1.5</v>
      </c>
      <c r="G25" s="150">
        <v>12</v>
      </c>
      <c r="H25" s="150"/>
      <c r="I25" s="56">
        <f t="shared" si="1"/>
        <v>17.28</v>
      </c>
    </row>
    <row r="26" spans="1:11">
      <c r="A26" s="55"/>
      <c r="B26" s="152" t="s">
        <v>268</v>
      </c>
      <c r="C26" s="3"/>
      <c r="D26" s="132">
        <v>1.6</v>
      </c>
      <c r="E26" s="133">
        <v>2.15</v>
      </c>
      <c r="F26" s="133">
        <v>1.5</v>
      </c>
      <c r="G26" s="150">
        <v>4</v>
      </c>
      <c r="H26" s="150"/>
      <c r="I26" s="56">
        <f t="shared" si="1"/>
        <v>20.64</v>
      </c>
    </row>
    <row r="27" spans="1:11">
      <c r="A27" s="55"/>
      <c r="B27" s="152" t="s">
        <v>269</v>
      </c>
      <c r="C27" s="3"/>
      <c r="D27" s="132">
        <v>1.55</v>
      </c>
      <c r="E27" s="133">
        <v>2.1</v>
      </c>
      <c r="F27" s="133">
        <v>1.5</v>
      </c>
      <c r="G27" s="150">
        <v>8</v>
      </c>
      <c r="H27" s="150"/>
      <c r="I27" s="56">
        <f t="shared" si="1"/>
        <v>39.06</v>
      </c>
    </row>
    <row r="28" spans="1:11">
      <c r="A28" s="205" t="s">
        <v>72</v>
      </c>
      <c r="B28" s="206"/>
      <c r="C28" s="206"/>
      <c r="D28" s="206"/>
      <c r="E28" s="206"/>
      <c r="F28" s="206"/>
      <c r="G28" s="206"/>
      <c r="H28" s="207"/>
      <c r="I28" s="153">
        <f>SUM(I23:I27)</f>
        <v>115.75</v>
      </c>
      <c r="J28" s="147"/>
    </row>
    <row r="29" spans="1:11" ht="39.6">
      <c r="A29" s="55" t="s">
        <v>97</v>
      </c>
      <c r="B29" s="4" t="s">
        <v>124</v>
      </c>
      <c r="C29" s="3" t="s">
        <v>10</v>
      </c>
      <c r="D29" s="132"/>
      <c r="E29" s="133"/>
      <c r="F29" s="133"/>
      <c r="G29" s="150"/>
      <c r="H29" s="150"/>
      <c r="I29" s="56"/>
      <c r="J29" s="147">
        <f>I29-(38.7*20.3*0.2*0.2)</f>
        <v>-31.424400000000009</v>
      </c>
      <c r="K29">
        <f>J29*I29</f>
        <v>0</v>
      </c>
    </row>
    <row r="30" spans="1:11">
      <c r="A30" s="55"/>
      <c r="B30" s="4"/>
      <c r="C30" s="3"/>
      <c r="D30" s="132"/>
      <c r="E30" s="133"/>
      <c r="F30" s="133"/>
      <c r="G30" s="150"/>
      <c r="H30" s="150"/>
      <c r="I30" s="56"/>
      <c r="J30" s="147"/>
    </row>
    <row r="31" spans="1:11">
      <c r="A31" s="55"/>
      <c r="B31" s="152" t="s">
        <v>227</v>
      </c>
      <c r="C31" s="3"/>
      <c r="D31" s="132">
        <v>14.21</v>
      </c>
      <c r="E31" s="133">
        <v>0.1</v>
      </c>
      <c r="F31" s="133">
        <v>0.85</v>
      </c>
      <c r="G31" s="150">
        <v>2</v>
      </c>
      <c r="H31" s="150"/>
      <c r="I31" s="56">
        <f t="shared" ref="I31" si="2">TRUNC(PRODUCT(D31:G31)-H31,2)</f>
        <v>2.41</v>
      </c>
      <c r="J31" s="147"/>
    </row>
    <row r="32" spans="1:11">
      <c r="A32" s="55"/>
      <c r="B32" s="152" t="s">
        <v>227</v>
      </c>
      <c r="C32" s="3"/>
      <c r="D32" s="132">
        <v>17.420000000000002</v>
      </c>
      <c r="E32" s="133">
        <v>0.1</v>
      </c>
      <c r="F32" s="133">
        <v>0.85</v>
      </c>
      <c r="G32" s="150">
        <v>2</v>
      </c>
      <c r="H32" s="150"/>
      <c r="I32" s="56">
        <f t="shared" si="1"/>
        <v>2.96</v>
      </c>
      <c r="J32" s="147"/>
    </row>
    <row r="33" spans="1:12">
      <c r="A33" s="55"/>
      <c r="B33" s="152" t="s">
        <v>227</v>
      </c>
      <c r="C33" s="3"/>
      <c r="D33" s="132">
        <v>14.21</v>
      </c>
      <c r="E33" s="133">
        <v>0.1</v>
      </c>
      <c r="F33" s="133">
        <v>0.35</v>
      </c>
      <c r="G33" s="150">
        <v>2</v>
      </c>
      <c r="H33" s="150"/>
      <c r="I33" s="56">
        <f t="shared" si="1"/>
        <v>0.99</v>
      </c>
      <c r="J33" s="147"/>
    </row>
    <row r="34" spans="1:12">
      <c r="A34" s="55"/>
      <c r="B34" s="152" t="s">
        <v>227</v>
      </c>
      <c r="C34" s="3"/>
      <c r="D34" s="132">
        <v>17.420000000000002</v>
      </c>
      <c r="E34" s="133">
        <v>0.1</v>
      </c>
      <c r="F34" s="133">
        <v>0.35</v>
      </c>
      <c r="G34" s="150">
        <v>2</v>
      </c>
      <c r="H34" s="150"/>
      <c r="I34" s="56">
        <f t="shared" ref="I34" si="3">TRUNC(PRODUCT(D34:G34)-H34,2)</f>
        <v>1.21</v>
      </c>
      <c r="J34" s="147"/>
    </row>
    <row r="35" spans="1:12">
      <c r="A35" s="55"/>
      <c r="B35" s="152" t="s">
        <v>203</v>
      </c>
      <c r="C35" s="3"/>
      <c r="D35" s="132">
        <v>25.7</v>
      </c>
      <c r="E35" s="133">
        <v>42.7</v>
      </c>
      <c r="F35" s="133">
        <v>0.2</v>
      </c>
      <c r="G35" s="150"/>
      <c r="H35" s="150"/>
      <c r="I35" s="56">
        <f t="shared" si="1"/>
        <v>219.47</v>
      </c>
      <c r="J35" s="147"/>
    </row>
    <row r="36" spans="1:12">
      <c r="A36" s="205" t="s">
        <v>72</v>
      </c>
      <c r="B36" s="206"/>
      <c r="C36" s="206"/>
      <c r="D36" s="206"/>
      <c r="E36" s="206"/>
      <c r="F36" s="206"/>
      <c r="G36" s="206"/>
      <c r="H36" s="207"/>
      <c r="I36" s="153">
        <f>SUM(I31:I35)</f>
        <v>227.04</v>
      </c>
      <c r="J36" s="147"/>
    </row>
    <row r="37" spans="1:12" ht="26.4">
      <c r="A37" s="55" t="s">
        <v>98</v>
      </c>
      <c r="B37" s="4" t="s">
        <v>201</v>
      </c>
      <c r="C37" s="3" t="s">
        <v>10</v>
      </c>
      <c r="E37" s="133"/>
      <c r="F37" s="133"/>
      <c r="G37" s="132">
        <f>I28-I54</f>
        <v>69.37</v>
      </c>
      <c r="H37" s="150"/>
      <c r="I37" s="56">
        <f>TRUNC(PRODUCT(E37:G37)-H37,2)</f>
        <v>69.37</v>
      </c>
    </row>
    <row r="38" spans="1:12" ht="13.8">
      <c r="A38" s="210"/>
      <c r="B38" s="210"/>
      <c r="C38" s="210"/>
      <c r="D38" s="210"/>
      <c r="E38" s="210"/>
      <c r="F38" s="210"/>
      <c r="G38" s="210"/>
      <c r="H38" s="210"/>
      <c r="I38" s="210"/>
      <c r="K38" s="62"/>
    </row>
    <row r="39" spans="1:12">
      <c r="A39" s="198" t="s">
        <v>116</v>
      </c>
      <c r="B39" s="198"/>
      <c r="C39" s="198"/>
      <c r="D39" s="198"/>
      <c r="E39" s="198"/>
      <c r="F39" s="198"/>
      <c r="G39" s="198"/>
      <c r="H39" s="198"/>
      <c r="I39" s="198"/>
    </row>
    <row r="40" spans="1:12">
      <c r="A40" s="204" t="s">
        <v>125</v>
      </c>
      <c r="B40" s="204"/>
      <c r="C40" s="204"/>
      <c r="D40" s="204"/>
      <c r="E40" s="204"/>
      <c r="F40" s="204"/>
      <c r="G40" s="204"/>
      <c r="H40" s="204"/>
      <c r="I40" s="204"/>
    </row>
    <row r="41" spans="1:12" ht="26.4">
      <c r="A41" s="55" t="s">
        <v>126</v>
      </c>
      <c r="B41" s="4" t="s">
        <v>129</v>
      </c>
      <c r="C41" s="3" t="s">
        <v>2</v>
      </c>
      <c r="D41" s="56"/>
      <c r="E41" s="56"/>
      <c r="F41" s="56"/>
      <c r="G41" s="56"/>
      <c r="H41" s="56"/>
      <c r="I41" s="56"/>
      <c r="L41" s="67"/>
    </row>
    <row r="42" spans="1:12">
      <c r="A42" s="55"/>
      <c r="B42" s="4"/>
      <c r="C42" s="3"/>
      <c r="D42" s="132"/>
      <c r="E42" s="133"/>
      <c r="F42" s="133"/>
      <c r="G42" s="150"/>
      <c r="H42" s="150"/>
      <c r="I42" s="56"/>
      <c r="J42" s="147"/>
    </row>
    <row r="43" spans="1:12">
      <c r="A43" s="55"/>
      <c r="B43" s="152" t="s">
        <v>266</v>
      </c>
      <c r="C43" s="3"/>
      <c r="D43" s="132">
        <v>2.35</v>
      </c>
      <c r="E43" s="133">
        <v>2.75</v>
      </c>
      <c r="F43" s="133"/>
      <c r="G43" s="150">
        <v>4</v>
      </c>
      <c r="H43" s="150"/>
      <c r="I43" s="56">
        <f t="shared" ref="I43:I54" si="4">TRUNC(PRODUCT(D43:G43)-H43,2)</f>
        <v>25.85</v>
      </c>
    </row>
    <row r="44" spans="1:12">
      <c r="A44" s="55"/>
      <c r="B44" s="152" t="s">
        <v>267</v>
      </c>
      <c r="C44" s="3"/>
      <c r="D44" s="132">
        <v>0.8</v>
      </c>
      <c r="E44" s="133">
        <v>1.2</v>
      </c>
      <c r="F44" s="133"/>
      <c r="G44" s="150">
        <v>12</v>
      </c>
      <c r="H44" s="150"/>
      <c r="I44" s="56">
        <f t="shared" si="4"/>
        <v>11.52</v>
      </c>
    </row>
    <row r="45" spans="1:12">
      <c r="A45" s="55"/>
      <c r="B45" s="152" t="s">
        <v>268</v>
      </c>
      <c r="C45" s="3"/>
      <c r="D45" s="132">
        <v>1.6</v>
      </c>
      <c r="E45" s="133">
        <v>2.15</v>
      </c>
      <c r="F45" s="133"/>
      <c r="G45" s="150">
        <v>4</v>
      </c>
      <c r="H45" s="150"/>
      <c r="I45" s="56">
        <f t="shared" si="4"/>
        <v>13.76</v>
      </c>
    </row>
    <row r="46" spans="1:12">
      <c r="A46" s="55"/>
      <c r="B46" s="152" t="s">
        <v>269</v>
      </c>
      <c r="C46" s="3"/>
      <c r="D46" s="132">
        <v>1.55</v>
      </c>
      <c r="E46" s="133">
        <v>2.1</v>
      </c>
      <c r="F46" s="133"/>
      <c r="G46" s="150">
        <v>8</v>
      </c>
      <c r="H46" s="150"/>
      <c r="I46" s="56">
        <f t="shared" si="4"/>
        <v>26.04</v>
      </c>
    </row>
    <row r="47" spans="1:12">
      <c r="A47" s="205" t="s">
        <v>72</v>
      </c>
      <c r="B47" s="206"/>
      <c r="C47" s="206"/>
      <c r="D47" s="206"/>
      <c r="E47" s="206"/>
      <c r="F47" s="206"/>
      <c r="G47" s="206"/>
      <c r="H47" s="207"/>
      <c r="I47" s="153">
        <f>SUM(I43:I46)</f>
        <v>77.17</v>
      </c>
      <c r="J47" s="147"/>
    </row>
    <row r="48" spans="1:12" ht="39.6">
      <c r="A48" s="55" t="s">
        <v>127</v>
      </c>
      <c r="B48" s="2" t="s">
        <v>130</v>
      </c>
      <c r="C48" s="1" t="s">
        <v>2</v>
      </c>
      <c r="D48" s="56">
        <f>102.4+42.24</f>
        <v>144.64000000000001</v>
      </c>
      <c r="E48" s="56"/>
      <c r="F48" s="56"/>
      <c r="G48" s="56"/>
      <c r="H48" s="56"/>
      <c r="I48" s="56">
        <f t="shared" si="4"/>
        <v>144.63999999999999</v>
      </c>
      <c r="L48" s="67"/>
    </row>
    <row r="49" spans="1:12" ht="26.4">
      <c r="A49" s="55" t="s">
        <v>128</v>
      </c>
      <c r="B49" s="2" t="s">
        <v>131</v>
      </c>
      <c r="C49" s="1" t="s">
        <v>16</v>
      </c>
      <c r="D49" s="56">
        <f>125/1.1</f>
        <v>113.63636363636363</v>
      </c>
      <c r="E49" s="56"/>
      <c r="F49" s="56"/>
      <c r="G49" s="56"/>
      <c r="H49" s="56"/>
      <c r="I49" s="56">
        <f t="shared" si="4"/>
        <v>113.63</v>
      </c>
      <c r="L49" s="67"/>
    </row>
    <row r="50" spans="1:12" ht="26.4">
      <c r="A50" s="55" t="s">
        <v>133</v>
      </c>
      <c r="B50" s="4" t="s">
        <v>132</v>
      </c>
      <c r="C50" s="3" t="s">
        <v>16</v>
      </c>
      <c r="D50" s="56">
        <f>(592.1+727.1)/1.1</f>
        <v>1199.2727272727273</v>
      </c>
      <c r="E50" s="56"/>
      <c r="F50" s="56"/>
      <c r="G50" s="56"/>
      <c r="H50" s="56"/>
      <c r="I50" s="56">
        <f t="shared" si="4"/>
        <v>1199.27</v>
      </c>
      <c r="L50" s="67"/>
    </row>
    <row r="51" spans="1:12" ht="26.4">
      <c r="A51" s="55" t="s">
        <v>134</v>
      </c>
      <c r="B51" s="2" t="s">
        <v>272</v>
      </c>
      <c r="C51" s="1" t="s">
        <v>16</v>
      </c>
      <c r="D51" s="56">
        <f>(86.9+1318.7)/1.1</f>
        <v>1277.8181818181818</v>
      </c>
      <c r="E51" s="56"/>
      <c r="F51" s="56"/>
      <c r="G51" s="56"/>
      <c r="H51" s="56"/>
      <c r="I51" s="56">
        <f t="shared" si="4"/>
        <v>1277.81</v>
      </c>
      <c r="L51" s="67"/>
    </row>
    <row r="52" spans="1:12" ht="26.4">
      <c r="A52" s="55" t="s">
        <v>134</v>
      </c>
      <c r="B52" s="2" t="s">
        <v>273</v>
      </c>
      <c r="C52" s="1" t="s">
        <v>16</v>
      </c>
      <c r="D52" s="56">
        <f>89.6/1.1</f>
        <v>81.454545454545439</v>
      </c>
      <c r="E52" s="56"/>
      <c r="F52" s="56"/>
      <c r="G52" s="56"/>
      <c r="H52" s="56"/>
      <c r="I52" s="56">
        <f t="shared" ref="I52" si="5">TRUNC(PRODUCT(D52:G52)-H52,2)</f>
        <v>81.45</v>
      </c>
      <c r="L52" s="67"/>
    </row>
    <row r="53" spans="1:12" ht="26.4">
      <c r="A53" s="55" t="s">
        <v>134</v>
      </c>
      <c r="B53" s="2" t="s">
        <v>136</v>
      </c>
      <c r="C53" s="1" t="s">
        <v>16</v>
      </c>
      <c r="D53" s="56">
        <f>(64+350)/1.1</f>
        <v>376.36363636363632</v>
      </c>
      <c r="E53" s="56"/>
      <c r="F53" s="56"/>
      <c r="G53" s="56"/>
      <c r="H53" s="56"/>
      <c r="I53" s="56">
        <f t="shared" si="4"/>
        <v>376.36</v>
      </c>
      <c r="L53" s="67"/>
    </row>
    <row r="54" spans="1:12" ht="39.6">
      <c r="A54" s="55" t="s">
        <v>135</v>
      </c>
      <c r="B54" s="2" t="s">
        <v>99</v>
      </c>
      <c r="C54" s="1" t="s">
        <v>10</v>
      </c>
      <c r="D54" s="56">
        <f>12.98+33.4</f>
        <v>46.379999999999995</v>
      </c>
      <c r="E54" s="56"/>
      <c r="F54" s="56"/>
      <c r="G54" s="56"/>
      <c r="H54" s="56"/>
      <c r="I54" s="56">
        <f t="shared" si="4"/>
        <v>46.38</v>
      </c>
      <c r="L54" s="67"/>
    </row>
    <row r="55" spans="1:12" ht="26.4">
      <c r="A55" s="55" t="s">
        <v>137</v>
      </c>
      <c r="B55" s="2" t="s">
        <v>140</v>
      </c>
      <c r="C55" s="1" t="s">
        <v>2</v>
      </c>
      <c r="D55" s="132">
        <v>138</v>
      </c>
      <c r="E55" s="56">
        <v>0.2</v>
      </c>
      <c r="F55" s="56">
        <v>0.4</v>
      </c>
      <c r="G55" s="56"/>
      <c r="H55" s="56"/>
      <c r="I55" s="56">
        <f>TRUNC(D55*(E55*3),2)</f>
        <v>82.8</v>
      </c>
      <c r="L55" s="67"/>
    </row>
    <row r="56" spans="1:12">
      <c r="A56" s="204" t="s">
        <v>118</v>
      </c>
      <c r="B56" s="204"/>
      <c r="C56" s="204"/>
      <c r="D56" s="204"/>
      <c r="E56" s="204"/>
      <c r="F56" s="204"/>
      <c r="G56" s="204"/>
      <c r="H56" s="204"/>
      <c r="I56" s="204"/>
    </row>
    <row r="57" spans="1:12" ht="26.4">
      <c r="A57" s="55" t="s">
        <v>143</v>
      </c>
      <c r="B57" s="4" t="s">
        <v>139</v>
      </c>
      <c r="C57" s="3" t="s">
        <v>2</v>
      </c>
      <c r="D57" s="56">
        <f>53.81+45.6+66.35</f>
        <v>165.76</v>
      </c>
      <c r="E57" s="56"/>
      <c r="F57" s="56"/>
      <c r="G57" s="56"/>
      <c r="H57" s="56"/>
      <c r="I57" s="56">
        <f t="shared" ref="I57:I62" si="6">TRUNC(PRODUCT(D57:G57)-H57,2)</f>
        <v>165.76</v>
      </c>
      <c r="L57" s="67"/>
    </row>
    <row r="58" spans="1:12" ht="39.6">
      <c r="A58" s="55" t="s">
        <v>144</v>
      </c>
      <c r="B58" s="2" t="s">
        <v>141</v>
      </c>
      <c r="C58" s="1" t="s">
        <v>16</v>
      </c>
      <c r="D58" s="56">
        <f>(121.6+50.6+62.5)/1.1</f>
        <v>213.36363636363635</v>
      </c>
      <c r="E58" s="56"/>
      <c r="F58" s="56"/>
      <c r="G58" s="56"/>
      <c r="H58" s="56"/>
      <c r="I58" s="56">
        <f t="shared" si="6"/>
        <v>213.36</v>
      </c>
      <c r="L58" s="67"/>
    </row>
    <row r="59" spans="1:12" ht="39.6">
      <c r="A59" s="55" t="s">
        <v>145</v>
      </c>
      <c r="B59" s="2" t="s">
        <v>275</v>
      </c>
      <c r="C59" s="1" t="s">
        <v>16</v>
      </c>
      <c r="D59" s="56">
        <f>(164.1+117.8+195.3)/1.1</f>
        <v>433.81818181818176</v>
      </c>
      <c r="E59" s="56"/>
      <c r="F59" s="56"/>
      <c r="G59" s="56"/>
      <c r="H59" s="56"/>
      <c r="I59" s="56">
        <f t="shared" ref="I59" si="7">TRUNC(PRODUCT(D59:G59)-H59,2)</f>
        <v>433.81</v>
      </c>
      <c r="L59" s="67"/>
    </row>
    <row r="60" spans="1:12" ht="39.6">
      <c r="A60" s="55" t="s">
        <v>146</v>
      </c>
      <c r="B60" s="2" t="s">
        <v>277</v>
      </c>
      <c r="C60" s="1" t="s">
        <v>16</v>
      </c>
      <c r="D60" s="56">
        <f>120.4/1.1</f>
        <v>109.45454545454545</v>
      </c>
      <c r="E60" s="56"/>
      <c r="F60" s="56"/>
      <c r="G60" s="56"/>
      <c r="H60" s="56"/>
      <c r="I60" s="56">
        <f t="shared" ref="I60" si="8">TRUNC(PRODUCT(D60:G60)-H60,2)</f>
        <v>109.45</v>
      </c>
      <c r="L60" s="67"/>
    </row>
    <row r="61" spans="1:12" ht="39.6">
      <c r="A61" s="55" t="s">
        <v>274</v>
      </c>
      <c r="B61" s="2" t="s">
        <v>142</v>
      </c>
      <c r="C61" s="1" t="s">
        <v>16</v>
      </c>
      <c r="D61" s="56">
        <f>(106.4+76.1+101.4)/1.1</f>
        <v>258.09090909090907</v>
      </c>
      <c r="E61" s="56"/>
      <c r="F61" s="56"/>
      <c r="G61" s="56"/>
      <c r="H61" s="56"/>
      <c r="I61" s="56">
        <f t="shared" si="6"/>
        <v>258.08999999999997</v>
      </c>
      <c r="L61" s="67"/>
    </row>
    <row r="62" spans="1:12" ht="39.6">
      <c r="A62" s="55" t="s">
        <v>276</v>
      </c>
      <c r="B62" s="4" t="s">
        <v>147</v>
      </c>
      <c r="C62" s="3" t="s">
        <v>10</v>
      </c>
      <c r="D62" s="56">
        <f>4.25+3.6+5.24</f>
        <v>13.09</v>
      </c>
      <c r="E62" s="56"/>
      <c r="F62" s="56"/>
      <c r="G62" s="56"/>
      <c r="H62" s="56"/>
      <c r="I62" s="56">
        <f t="shared" si="6"/>
        <v>13.09</v>
      </c>
      <c r="L62" s="67"/>
    </row>
    <row r="63" spans="1:12">
      <c r="A63" s="204" t="s">
        <v>119</v>
      </c>
      <c r="B63" s="204"/>
      <c r="C63" s="204"/>
      <c r="D63" s="204"/>
      <c r="E63" s="204"/>
      <c r="F63" s="204"/>
      <c r="G63" s="204"/>
      <c r="H63" s="204"/>
      <c r="I63" s="204"/>
    </row>
    <row r="64" spans="1:12" ht="26.4">
      <c r="A64" s="55" t="s">
        <v>148</v>
      </c>
      <c r="B64" s="4" t="s">
        <v>153</v>
      </c>
      <c r="C64" s="3" t="s">
        <v>2</v>
      </c>
      <c r="D64" s="56">
        <f>38.73+38.73+38.73</f>
        <v>116.19</v>
      </c>
      <c r="E64" s="56"/>
      <c r="F64" s="56"/>
      <c r="G64" s="56"/>
      <c r="H64" s="56"/>
      <c r="I64" s="56">
        <f t="shared" ref="I64:I69" si="9">TRUNC(PRODUCT(D64:G64)-H64,2)</f>
        <v>116.19</v>
      </c>
      <c r="L64" s="67"/>
    </row>
    <row r="65" spans="1:12" ht="39.6">
      <c r="A65" s="55" t="s">
        <v>151</v>
      </c>
      <c r="B65" s="2" t="s">
        <v>278</v>
      </c>
      <c r="C65" s="1" t="s">
        <v>16</v>
      </c>
      <c r="D65" s="56">
        <f>(1.7)/1.1</f>
        <v>1.5454545454545452</v>
      </c>
      <c r="E65" s="56"/>
      <c r="F65" s="56"/>
      <c r="G65" s="56"/>
      <c r="H65" s="56"/>
      <c r="I65" s="56">
        <f t="shared" ref="I65" si="10">TRUNC(PRODUCT(D65:G65)-H65,2)</f>
        <v>1.54</v>
      </c>
      <c r="L65" s="67"/>
    </row>
    <row r="66" spans="1:12" ht="39.6">
      <c r="A66" s="55" t="s">
        <v>152</v>
      </c>
      <c r="B66" s="2" t="s">
        <v>154</v>
      </c>
      <c r="C66" s="1" t="s">
        <v>16</v>
      </c>
      <c r="D66" s="56">
        <f>(116+86.1)/1.1</f>
        <v>183.72727272727272</v>
      </c>
      <c r="E66" s="56"/>
      <c r="F66" s="56"/>
      <c r="G66" s="56"/>
      <c r="H66" s="56"/>
      <c r="I66" s="56">
        <f t="shared" si="9"/>
        <v>183.72</v>
      </c>
      <c r="L66" s="67"/>
    </row>
    <row r="67" spans="1:12" ht="39.6">
      <c r="A67" s="55" t="s">
        <v>205</v>
      </c>
      <c r="B67" s="2" t="s">
        <v>275</v>
      </c>
      <c r="C67" s="1" t="s">
        <v>16</v>
      </c>
      <c r="D67" s="56">
        <f>(103.6)/1.1</f>
        <v>94.181818181818173</v>
      </c>
      <c r="E67" s="56"/>
      <c r="F67" s="56"/>
      <c r="G67" s="56"/>
      <c r="H67" s="56"/>
      <c r="I67" s="56">
        <f t="shared" ref="I67" si="11">TRUNC(PRODUCT(D67:G67)-H67,2)</f>
        <v>94.18</v>
      </c>
      <c r="L67" s="67"/>
    </row>
    <row r="68" spans="1:12" ht="39.6">
      <c r="A68" s="55" t="s">
        <v>279</v>
      </c>
      <c r="B68" s="2" t="s">
        <v>142</v>
      </c>
      <c r="C68" s="1" t="s">
        <v>16</v>
      </c>
      <c r="D68" s="56">
        <f>(31.9+31.9+31.9)/1.1</f>
        <v>86.999999999999986</v>
      </c>
      <c r="E68" s="56"/>
      <c r="F68" s="56"/>
      <c r="G68" s="56"/>
      <c r="H68" s="56"/>
      <c r="I68" s="56">
        <f t="shared" si="9"/>
        <v>87</v>
      </c>
      <c r="L68" s="67"/>
    </row>
    <row r="69" spans="1:12" ht="52.8">
      <c r="A69" s="55" t="s">
        <v>280</v>
      </c>
      <c r="B69" s="4" t="s">
        <v>155</v>
      </c>
      <c r="C69" s="3" t="s">
        <v>10</v>
      </c>
      <c r="D69" s="56">
        <f>2.31*3</f>
        <v>6.93</v>
      </c>
      <c r="E69" s="56"/>
      <c r="F69" s="56"/>
      <c r="G69" s="56"/>
      <c r="H69" s="56"/>
      <c r="I69" s="56">
        <f t="shared" si="9"/>
        <v>6.93</v>
      </c>
      <c r="L69" s="67"/>
    </row>
    <row r="70" spans="1:12">
      <c r="A70" s="204" t="s">
        <v>206</v>
      </c>
      <c r="B70" s="204"/>
      <c r="C70" s="204"/>
      <c r="D70" s="204"/>
      <c r="E70" s="204"/>
      <c r="F70" s="204"/>
      <c r="G70" s="204"/>
      <c r="H70" s="204"/>
      <c r="I70" s="204"/>
    </row>
    <row r="71" spans="1:12" ht="52.8">
      <c r="A71" s="55" t="s">
        <v>148</v>
      </c>
      <c r="B71" s="4" t="s">
        <v>149</v>
      </c>
      <c r="C71" s="3" t="s">
        <v>2</v>
      </c>
      <c r="D71" s="56"/>
      <c r="E71" s="56"/>
      <c r="F71" s="56"/>
      <c r="G71" s="56"/>
      <c r="H71" s="56"/>
      <c r="I71" s="56"/>
      <c r="L71" s="67"/>
    </row>
    <row r="72" spans="1:12">
      <c r="A72" s="55"/>
      <c r="B72" s="4"/>
      <c r="C72" s="3"/>
      <c r="D72" s="132"/>
      <c r="E72" s="133"/>
      <c r="F72" s="133"/>
      <c r="G72" s="150"/>
      <c r="H72" s="150"/>
      <c r="I72" s="56"/>
      <c r="J72" s="147"/>
    </row>
    <row r="73" spans="1:12">
      <c r="A73" s="55"/>
      <c r="B73" s="152" t="s">
        <v>227</v>
      </c>
      <c r="C73" s="3"/>
      <c r="D73" s="132">
        <v>14.21</v>
      </c>
      <c r="E73" s="133">
        <v>0.5</v>
      </c>
      <c r="F73" s="133"/>
      <c r="G73" s="150">
        <v>4</v>
      </c>
      <c r="H73" s="150"/>
      <c r="I73" s="56">
        <f t="shared" ref="I73:I74" si="12">TRUNC(PRODUCT(D73:G73)-H73,2)</f>
        <v>28.42</v>
      </c>
      <c r="J73" s="147"/>
    </row>
    <row r="74" spans="1:12">
      <c r="A74" s="55"/>
      <c r="B74" s="152" t="s">
        <v>227</v>
      </c>
      <c r="C74" s="3"/>
      <c r="D74" s="132">
        <v>17.420000000000002</v>
      </c>
      <c r="E74" s="133">
        <v>0.5</v>
      </c>
      <c r="F74" s="133"/>
      <c r="G74" s="150">
        <v>4</v>
      </c>
      <c r="H74" s="150"/>
      <c r="I74" s="56">
        <f t="shared" si="12"/>
        <v>34.840000000000003</v>
      </c>
      <c r="J74" s="147"/>
    </row>
    <row r="75" spans="1:12">
      <c r="A75" s="205" t="s">
        <v>72</v>
      </c>
      <c r="B75" s="206"/>
      <c r="C75" s="206"/>
      <c r="D75" s="206"/>
      <c r="E75" s="206"/>
      <c r="F75" s="206"/>
      <c r="G75" s="206"/>
      <c r="H75" s="207"/>
      <c r="I75" s="153">
        <f>SUM(I73:I74)</f>
        <v>63.260000000000005</v>
      </c>
      <c r="J75" s="147"/>
    </row>
    <row r="76" spans="1:12" ht="13.8">
      <c r="A76" s="176"/>
      <c r="B76" s="177"/>
      <c r="C76" s="177"/>
      <c r="D76" s="177"/>
      <c r="E76" s="177"/>
      <c r="F76" s="177"/>
      <c r="G76" s="177"/>
      <c r="H76" s="177"/>
      <c r="I76" s="178"/>
    </row>
    <row r="77" spans="1:12">
      <c r="A77" s="198" t="s">
        <v>102</v>
      </c>
      <c r="B77" s="198"/>
      <c r="C77" s="198"/>
      <c r="D77" s="198"/>
      <c r="E77" s="198"/>
      <c r="F77" s="198"/>
      <c r="G77" s="198"/>
      <c r="H77" s="198"/>
      <c r="I77" s="198"/>
    </row>
    <row r="78" spans="1:12" ht="52.8">
      <c r="A78" s="55" t="s">
        <v>7</v>
      </c>
      <c r="B78" s="2" t="s">
        <v>100</v>
      </c>
      <c r="C78" s="1" t="s">
        <v>2</v>
      </c>
      <c r="D78" s="132">
        <v>3.95</v>
      </c>
      <c r="E78" s="132"/>
      <c r="F78" s="132">
        <v>1.96</v>
      </c>
      <c r="G78" s="132">
        <v>10</v>
      </c>
      <c r="H78" s="134"/>
      <c r="I78" s="56">
        <f>TRUNC(PRODUCT(D78:G78)-H78,2)</f>
        <v>77.42</v>
      </c>
      <c r="L78" s="67"/>
    </row>
    <row r="79" spans="1:12" ht="52.8">
      <c r="A79" s="55" t="s">
        <v>8</v>
      </c>
      <c r="B79" s="2" t="s">
        <v>208</v>
      </c>
      <c r="C79" s="1" t="s">
        <v>10</v>
      </c>
      <c r="D79" s="132"/>
      <c r="E79" s="132"/>
      <c r="F79" s="132"/>
      <c r="G79" s="132"/>
      <c r="H79" s="132"/>
      <c r="I79" s="56"/>
      <c r="L79" s="67"/>
    </row>
    <row r="80" spans="1:12" ht="14.4" customHeight="1">
      <c r="A80" s="55"/>
      <c r="B80" s="4"/>
      <c r="C80" s="3"/>
      <c r="D80" s="132"/>
      <c r="E80" s="133"/>
      <c r="F80" s="133"/>
      <c r="G80" s="150"/>
      <c r="H80" s="150"/>
      <c r="I80" s="56"/>
      <c r="J80" s="147"/>
    </row>
    <row r="81" spans="1:12">
      <c r="A81" s="55"/>
      <c r="B81" s="152" t="s">
        <v>281</v>
      </c>
      <c r="C81" s="3"/>
      <c r="D81" s="132">
        <v>31.62</v>
      </c>
      <c r="E81" s="133">
        <v>0.5</v>
      </c>
      <c r="F81" s="133"/>
      <c r="G81" s="150">
        <v>2</v>
      </c>
      <c r="H81" s="150"/>
      <c r="I81" s="56">
        <f t="shared" ref="I81:I82" si="13">TRUNC(PRODUCT(D81:G81)-H81,2)</f>
        <v>31.62</v>
      </c>
      <c r="J81" s="147"/>
      <c r="K81">
        <f>14.21*2</f>
        <v>28.42</v>
      </c>
      <c r="L81">
        <f>17.42*2</f>
        <v>34.840000000000003</v>
      </c>
    </row>
    <row r="82" spans="1:12">
      <c r="A82" s="55"/>
      <c r="B82" s="152" t="s">
        <v>281</v>
      </c>
      <c r="C82" s="3"/>
      <c r="D82" s="132">
        <v>38.04</v>
      </c>
      <c r="E82" s="133">
        <v>0.5</v>
      </c>
      <c r="F82" s="133"/>
      <c r="G82" s="150">
        <v>2</v>
      </c>
      <c r="H82" s="150"/>
      <c r="I82" s="56">
        <f t="shared" si="13"/>
        <v>38.04</v>
      </c>
      <c r="J82" s="147"/>
      <c r="K82">
        <f>K81+3.2</f>
        <v>31.62</v>
      </c>
      <c r="L82">
        <f>L81+3.2</f>
        <v>38.040000000000006</v>
      </c>
    </row>
    <row r="83" spans="1:12">
      <c r="A83" s="55"/>
      <c r="B83" s="152" t="s">
        <v>282</v>
      </c>
      <c r="C83" s="3"/>
      <c r="D83" s="132">
        <v>30.02</v>
      </c>
      <c r="E83" s="133">
        <v>0.5</v>
      </c>
      <c r="F83" s="133"/>
      <c r="G83" s="150">
        <v>2</v>
      </c>
      <c r="H83" s="150"/>
      <c r="I83" s="56">
        <f t="shared" ref="I83:I84" si="14">TRUNC(PRODUCT(D83:G83)-H83,2)</f>
        <v>30.02</v>
      </c>
      <c r="J83" s="147"/>
      <c r="K83">
        <f>K81+1.6</f>
        <v>30.020000000000003</v>
      </c>
      <c r="L83">
        <f>L81+1.6</f>
        <v>36.440000000000005</v>
      </c>
    </row>
    <row r="84" spans="1:12">
      <c r="A84" s="55"/>
      <c r="B84" s="152" t="s">
        <v>282</v>
      </c>
      <c r="C84" s="3"/>
      <c r="D84" s="132">
        <v>36.44</v>
      </c>
      <c r="E84" s="133">
        <v>0.5</v>
      </c>
      <c r="F84" s="133"/>
      <c r="G84" s="150">
        <v>2</v>
      </c>
      <c r="H84" s="150"/>
      <c r="I84" s="56">
        <f t="shared" si="14"/>
        <v>36.44</v>
      </c>
      <c r="J84" s="147"/>
    </row>
    <row r="85" spans="1:12">
      <c r="A85" s="205" t="s">
        <v>72</v>
      </c>
      <c r="B85" s="206"/>
      <c r="C85" s="206"/>
      <c r="D85" s="206"/>
      <c r="E85" s="206"/>
      <c r="F85" s="206"/>
      <c r="G85" s="206"/>
      <c r="H85" s="207"/>
      <c r="I85" s="153">
        <f>SUM(I81:I84)</f>
        <v>136.12</v>
      </c>
      <c r="J85" s="147"/>
    </row>
    <row r="86" spans="1:12" ht="39.6">
      <c r="A86" s="55" t="s">
        <v>228</v>
      </c>
      <c r="B86" s="2" t="s">
        <v>229</v>
      </c>
      <c r="C86" s="1" t="s">
        <v>10</v>
      </c>
      <c r="D86" s="132"/>
      <c r="E86" s="132"/>
      <c r="F86" s="132"/>
      <c r="G86" s="132"/>
      <c r="H86" s="132"/>
      <c r="I86" s="56"/>
      <c r="L86" s="67"/>
    </row>
    <row r="87" spans="1:12">
      <c r="A87" s="55"/>
      <c r="B87" s="4"/>
      <c r="C87" s="3"/>
      <c r="D87" s="132"/>
      <c r="E87" s="133"/>
      <c r="F87" s="133"/>
      <c r="G87" s="150"/>
      <c r="H87" s="150"/>
      <c r="I87" s="56"/>
      <c r="J87" s="147"/>
    </row>
    <row r="88" spans="1:12">
      <c r="A88" s="55"/>
      <c r="B88" s="152" t="s">
        <v>230</v>
      </c>
      <c r="C88" s="3"/>
      <c r="D88" s="132">
        <v>3.95</v>
      </c>
      <c r="E88" s="133"/>
      <c r="F88" s="133">
        <v>1.6</v>
      </c>
      <c r="G88" s="150">
        <v>10</v>
      </c>
      <c r="H88" s="150"/>
      <c r="I88" s="56">
        <f t="shared" ref="I88:I89" si="15">TRUNC(PRODUCT(D88:G88)-H88,2)</f>
        <v>63.2</v>
      </c>
      <c r="J88" s="147"/>
    </row>
    <row r="89" spans="1:12">
      <c r="A89" s="55"/>
      <c r="B89" s="152" t="s">
        <v>231</v>
      </c>
      <c r="C89" s="3"/>
      <c r="D89" s="132">
        <v>3.95</v>
      </c>
      <c r="E89" s="133"/>
      <c r="F89" s="133">
        <v>2.5099999999999998</v>
      </c>
      <c r="G89" s="150">
        <v>10</v>
      </c>
      <c r="H89" s="150"/>
      <c r="I89" s="56">
        <f t="shared" si="15"/>
        <v>99.14</v>
      </c>
      <c r="J89" s="147"/>
    </row>
    <row r="90" spans="1:12">
      <c r="A90" s="205" t="s">
        <v>72</v>
      </c>
      <c r="B90" s="206"/>
      <c r="C90" s="206"/>
      <c r="D90" s="206"/>
      <c r="E90" s="206"/>
      <c r="F90" s="206"/>
      <c r="G90" s="206"/>
      <c r="H90" s="207"/>
      <c r="I90" s="153">
        <f>SUM(I88:I89)</f>
        <v>162.34</v>
      </c>
      <c r="J90" s="147"/>
    </row>
    <row r="91" spans="1:12" ht="13.8">
      <c r="A91" s="176"/>
      <c r="B91" s="177"/>
      <c r="C91" s="177"/>
      <c r="D91" s="177"/>
      <c r="E91" s="177"/>
      <c r="F91" s="177"/>
      <c r="G91" s="177"/>
      <c r="H91" s="177"/>
      <c r="I91" s="178"/>
    </row>
    <row r="92" spans="1:12">
      <c r="A92" s="198" t="s">
        <v>159</v>
      </c>
      <c r="B92" s="198"/>
      <c r="C92" s="198"/>
      <c r="D92" s="198"/>
      <c r="E92" s="198"/>
      <c r="F92" s="198"/>
      <c r="G92" s="198"/>
      <c r="H92" s="198"/>
      <c r="I92" s="198"/>
    </row>
    <row r="93" spans="1:12" ht="52.8">
      <c r="A93" s="55" t="s">
        <v>9</v>
      </c>
      <c r="B93" s="2" t="s">
        <v>156</v>
      </c>
      <c r="C93" s="1" t="s">
        <v>2</v>
      </c>
      <c r="D93" s="132"/>
      <c r="E93" s="132"/>
      <c r="F93" s="132"/>
      <c r="G93" s="132"/>
      <c r="H93" s="132"/>
      <c r="I93" s="56">
        <f t="shared" ref="I93:I106" si="16">TRUNC(PRODUCT(D93:G93)-H93,2)</f>
        <v>0</v>
      </c>
      <c r="L93" s="67"/>
    </row>
    <row r="94" spans="1:12">
      <c r="A94" s="55"/>
      <c r="B94" s="4"/>
      <c r="C94" s="3"/>
      <c r="D94" s="132"/>
      <c r="E94" s="133"/>
      <c r="F94" s="133"/>
      <c r="G94" s="150"/>
      <c r="H94" s="150"/>
      <c r="I94" s="56"/>
      <c r="J94" s="147"/>
    </row>
    <row r="95" spans="1:12">
      <c r="A95" s="55"/>
      <c r="B95" s="154" t="s">
        <v>202</v>
      </c>
      <c r="C95" s="3"/>
      <c r="D95" s="132"/>
      <c r="E95" s="133"/>
      <c r="F95" s="133"/>
      <c r="G95" s="150"/>
      <c r="H95" s="150"/>
      <c r="I95" s="56"/>
      <c r="J95" s="147"/>
    </row>
    <row r="96" spans="1:12">
      <c r="A96" s="55"/>
      <c r="B96" s="4"/>
      <c r="C96" s="3"/>
      <c r="D96" s="132"/>
      <c r="E96" s="133"/>
      <c r="F96" s="133"/>
      <c r="G96" s="150"/>
      <c r="H96" s="150"/>
      <c r="I96" s="56"/>
      <c r="J96" s="147"/>
    </row>
    <row r="97" spans="1:12">
      <c r="A97" s="55"/>
      <c r="B97" s="152" t="s">
        <v>281</v>
      </c>
      <c r="C97" s="3"/>
      <c r="D97" s="132">
        <v>31.62</v>
      </c>
      <c r="E97" s="133">
        <v>0.5</v>
      </c>
      <c r="F97" s="133"/>
      <c r="G97" s="150">
        <v>2</v>
      </c>
      <c r="H97" s="150"/>
      <c r="I97" s="56">
        <f t="shared" ref="I97:I98" si="17">TRUNC(PRODUCT(D97:G97)-H97,2)</f>
        <v>31.62</v>
      </c>
      <c r="J97" s="147"/>
    </row>
    <row r="98" spans="1:12">
      <c r="A98" s="55"/>
      <c r="B98" s="152" t="s">
        <v>281</v>
      </c>
      <c r="C98" s="3"/>
      <c r="D98" s="132">
        <v>38.04</v>
      </c>
      <c r="E98" s="133">
        <v>0.5</v>
      </c>
      <c r="F98" s="133"/>
      <c r="G98" s="150">
        <v>2</v>
      </c>
      <c r="H98" s="150"/>
      <c r="I98" s="56">
        <f t="shared" si="17"/>
        <v>38.04</v>
      </c>
      <c r="J98" s="147"/>
    </row>
    <row r="99" spans="1:12">
      <c r="A99" s="55"/>
      <c r="B99" s="152" t="s">
        <v>282</v>
      </c>
      <c r="C99" s="3"/>
      <c r="D99" s="132">
        <v>30.02</v>
      </c>
      <c r="E99" s="133">
        <v>0.5</v>
      </c>
      <c r="F99" s="133"/>
      <c r="G99" s="150">
        <v>2</v>
      </c>
      <c r="H99" s="150"/>
      <c r="I99" s="56">
        <f t="shared" ref="I99:I100" si="18">TRUNC(PRODUCT(D99:G99)-H99,2)</f>
        <v>30.02</v>
      </c>
      <c r="J99" s="147"/>
    </row>
    <row r="100" spans="1:12">
      <c r="A100" s="55"/>
      <c r="B100" s="152" t="s">
        <v>282</v>
      </c>
      <c r="C100" s="3"/>
      <c r="D100" s="132">
        <v>36.44</v>
      </c>
      <c r="E100" s="133">
        <v>0.5</v>
      </c>
      <c r="F100" s="133"/>
      <c r="G100" s="150">
        <v>2</v>
      </c>
      <c r="H100" s="150"/>
      <c r="I100" s="56">
        <f t="shared" si="18"/>
        <v>36.44</v>
      </c>
      <c r="J100" s="147"/>
    </row>
    <row r="101" spans="1:12">
      <c r="A101" s="55"/>
      <c r="B101" s="152"/>
      <c r="C101" s="3"/>
      <c r="D101" s="132"/>
      <c r="E101" s="133"/>
      <c r="F101" s="133"/>
      <c r="G101" s="150"/>
      <c r="H101" s="150"/>
      <c r="I101" s="56"/>
      <c r="J101" s="147"/>
    </row>
    <row r="102" spans="1:12">
      <c r="A102" s="55"/>
      <c r="B102" s="154" t="s">
        <v>203</v>
      </c>
      <c r="C102" s="3"/>
      <c r="D102" s="132"/>
      <c r="E102" s="133"/>
      <c r="F102" s="133"/>
      <c r="G102" s="150"/>
      <c r="H102" s="150"/>
      <c r="I102" s="56"/>
      <c r="J102" s="147"/>
    </row>
    <row r="103" spans="1:12">
      <c r="A103" s="55"/>
      <c r="B103" s="4"/>
      <c r="C103" s="3"/>
      <c r="D103" s="132"/>
      <c r="E103" s="133"/>
      <c r="F103" s="133"/>
      <c r="G103" s="150"/>
      <c r="H103" s="150"/>
      <c r="I103" s="56"/>
      <c r="J103" s="147"/>
    </row>
    <row r="104" spans="1:12">
      <c r="A104" s="55"/>
      <c r="B104" s="152" t="s">
        <v>209</v>
      </c>
      <c r="C104" s="3"/>
      <c r="D104" s="132">
        <v>3.95</v>
      </c>
      <c r="E104" s="132"/>
      <c r="F104" s="132">
        <v>1.96</v>
      </c>
      <c r="G104" s="132">
        <v>20</v>
      </c>
      <c r="H104" s="150"/>
      <c r="I104" s="56">
        <f t="shared" ref="I104" si="19">TRUNC(PRODUCT(D104:G104)-H104,2)</f>
        <v>154.84</v>
      </c>
      <c r="J104" s="147"/>
    </row>
    <row r="105" spans="1:12">
      <c r="A105" s="205" t="s">
        <v>72</v>
      </c>
      <c r="B105" s="206"/>
      <c r="C105" s="206"/>
      <c r="D105" s="206"/>
      <c r="E105" s="206"/>
      <c r="F105" s="206"/>
      <c r="G105" s="206"/>
      <c r="H105" s="207"/>
      <c r="I105" s="153">
        <f>SUM(I97:I104)</f>
        <v>290.96000000000004</v>
      </c>
      <c r="J105" s="147"/>
    </row>
    <row r="106" spans="1:12" ht="66">
      <c r="A106" s="55" t="s">
        <v>17</v>
      </c>
      <c r="B106" s="2" t="s">
        <v>157</v>
      </c>
      <c r="C106" s="1" t="s">
        <v>2</v>
      </c>
      <c r="D106" s="132"/>
      <c r="E106" s="132"/>
      <c r="F106" s="132"/>
      <c r="G106" s="132"/>
      <c r="H106" s="132"/>
      <c r="I106" s="56">
        <f t="shared" si="16"/>
        <v>0</v>
      </c>
      <c r="L106" s="67"/>
    </row>
    <row r="107" spans="1:12">
      <c r="A107" s="55"/>
      <c r="B107" s="4"/>
      <c r="C107" s="3"/>
      <c r="D107" s="132"/>
      <c r="E107" s="133"/>
      <c r="F107" s="133"/>
      <c r="G107" s="150"/>
      <c r="H107" s="150"/>
      <c r="I107" s="56"/>
      <c r="J107" s="147"/>
    </row>
    <row r="108" spans="1:12">
      <c r="A108" s="55"/>
      <c r="B108" s="154" t="s">
        <v>202</v>
      </c>
      <c r="C108" s="3"/>
      <c r="D108" s="132"/>
      <c r="E108" s="133"/>
      <c r="F108" s="133"/>
      <c r="G108" s="150"/>
      <c r="H108" s="150"/>
      <c r="I108" s="56"/>
      <c r="J108" s="147"/>
    </row>
    <row r="109" spans="1:12">
      <c r="A109" s="55"/>
      <c r="B109" s="4"/>
      <c r="C109" s="3"/>
      <c r="D109" s="132"/>
      <c r="E109" s="133"/>
      <c r="F109" s="133"/>
      <c r="G109" s="150"/>
      <c r="H109" s="150"/>
      <c r="I109" s="56"/>
      <c r="J109" s="147"/>
    </row>
    <row r="110" spans="1:12">
      <c r="A110" s="55"/>
      <c r="B110" s="152" t="s">
        <v>281</v>
      </c>
      <c r="C110" s="3"/>
      <c r="D110" s="132">
        <v>31.62</v>
      </c>
      <c r="E110" s="133">
        <v>0.5</v>
      </c>
      <c r="F110" s="133"/>
      <c r="G110" s="150">
        <v>2</v>
      </c>
      <c r="H110" s="150"/>
      <c r="I110" s="56">
        <f t="shared" ref="I110:I113" si="20">TRUNC(PRODUCT(D110:G110)-H110,2)</f>
        <v>31.62</v>
      </c>
      <c r="J110" s="147"/>
    </row>
    <row r="111" spans="1:12">
      <c r="A111" s="55"/>
      <c r="B111" s="152" t="s">
        <v>281</v>
      </c>
      <c r="C111" s="3"/>
      <c r="D111" s="132">
        <v>38.04</v>
      </c>
      <c r="E111" s="133">
        <v>0.5</v>
      </c>
      <c r="F111" s="133"/>
      <c r="G111" s="150">
        <v>2</v>
      </c>
      <c r="H111" s="150"/>
      <c r="I111" s="56">
        <f t="shared" si="20"/>
        <v>38.04</v>
      </c>
      <c r="J111" s="147"/>
    </row>
    <row r="112" spans="1:12">
      <c r="A112" s="55"/>
      <c r="B112" s="152" t="s">
        <v>282</v>
      </c>
      <c r="C112" s="3"/>
      <c r="D112" s="132">
        <v>30.02</v>
      </c>
      <c r="E112" s="133">
        <v>0.5</v>
      </c>
      <c r="F112" s="133"/>
      <c r="G112" s="150">
        <v>2</v>
      </c>
      <c r="H112" s="150"/>
      <c r="I112" s="56">
        <f t="shared" si="20"/>
        <v>30.02</v>
      </c>
      <c r="J112" s="147"/>
    </row>
    <row r="113" spans="1:10">
      <c r="A113" s="55"/>
      <c r="B113" s="152" t="s">
        <v>282</v>
      </c>
      <c r="C113" s="3"/>
      <c r="D113" s="132">
        <v>36.44</v>
      </c>
      <c r="E113" s="133">
        <v>0.5</v>
      </c>
      <c r="F113" s="133"/>
      <c r="G113" s="150">
        <v>2</v>
      </c>
      <c r="H113" s="150"/>
      <c r="I113" s="56">
        <f t="shared" si="20"/>
        <v>36.44</v>
      </c>
      <c r="J113" s="147"/>
    </row>
    <row r="114" spans="1:10">
      <c r="A114" s="55"/>
      <c r="B114" s="152"/>
      <c r="C114" s="3"/>
      <c r="D114" s="132"/>
      <c r="E114" s="133"/>
      <c r="F114" s="133"/>
      <c r="G114" s="150"/>
      <c r="H114" s="150"/>
      <c r="I114" s="56"/>
      <c r="J114" s="147"/>
    </row>
    <row r="115" spans="1:10">
      <c r="A115" s="55"/>
      <c r="B115" s="154" t="s">
        <v>203</v>
      </c>
      <c r="C115" s="3"/>
      <c r="D115" s="132"/>
      <c r="E115" s="133"/>
      <c r="F115" s="133"/>
      <c r="G115" s="150"/>
      <c r="H115" s="150"/>
      <c r="I115" s="56"/>
      <c r="J115" s="147"/>
    </row>
    <row r="116" spans="1:10">
      <c r="A116" s="55"/>
      <c r="B116" s="4"/>
      <c r="C116" s="3"/>
      <c r="D116" s="132"/>
      <c r="E116" s="133"/>
      <c r="F116" s="133"/>
      <c r="G116" s="150"/>
      <c r="H116" s="150"/>
      <c r="I116" s="56"/>
      <c r="J116" s="147"/>
    </row>
    <row r="117" spans="1:10">
      <c r="A117" s="55"/>
      <c r="B117" s="152" t="s">
        <v>209</v>
      </c>
      <c r="C117" s="3"/>
      <c r="D117" s="132">
        <v>3.95</v>
      </c>
      <c r="E117" s="132"/>
      <c r="F117" s="132">
        <v>1.96</v>
      </c>
      <c r="G117" s="132">
        <v>20</v>
      </c>
      <c r="H117" s="150"/>
      <c r="I117" s="56">
        <f t="shared" ref="I117" si="21">TRUNC(PRODUCT(D117:G117)-H117,2)</f>
        <v>154.84</v>
      </c>
      <c r="J117" s="147"/>
    </row>
    <row r="118" spans="1:10">
      <c r="A118" s="205" t="s">
        <v>72</v>
      </c>
      <c r="B118" s="206"/>
      <c r="C118" s="206"/>
      <c r="D118" s="206"/>
      <c r="E118" s="206"/>
      <c r="F118" s="206"/>
      <c r="G118" s="206"/>
      <c r="H118" s="207"/>
      <c r="I118" s="153">
        <f>SUM(I108:I117)</f>
        <v>290.96000000000004</v>
      </c>
      <c r="J118" s="147"/>
    </row>
    <row r="119" spans="1:10" ht="13.8">
      <c r="A119" s="176"/>
      <c r="B119" s="177"/>
      <c r="C119" s="177"/>
      <c r="D119" s="177"/>
      <c r="E119" s="177"/>
      <c r="F119" s="177"/>
      <c r="G119" s="177"/>
      <c r="H119" s="177"/>
      <c r="I119" s="178"/>
    </row>
    <row r="120" spans="1:10" ht="16.5" customHeight="1">
      <c r="A120" s="198" t="s">
        <v>160</v>
      </c>
      <c r="B120" s="198"/>
      <c r="C120" s="198"/>
      <c r="D120" s="198"/>
      <c r="E120" s="198"/>
      <c r="F120" s="198"/>
      <c r="G120" s="198"/>
      <c r="H120" s="198"/>
      <c r="I120" s="198"/>
    </row>
    <row r="121" spans="1:10" ht="39.6">
      <c r="A121" s="55" t="s">
        <v>161</v>
      </c>
      <c r="B121" s="4" t="s">
        <v>110</v>
      </c>
      <c r="C121" s="3" t="s">
        <v>10</v>
      </c>
      <c r="D121" s="132">
        <v>25.7</v>
      </c>
      <c r="E121" s="133">
        <v>42.7</v>
      </c>
      <c r="F121" s="133">
        <v>0.08</v>
      </c>
      <c r="G121" s="150"/>
      <c r="H121" s="150"/>
      <c r="I121" s="56">
        <f t="shared" ref="I121:I122" si="22">TRUNC(PRODUCT(D121:G121)-H121,2)</f>
        <v>87.79</v>
      </c>
    </row>
    <row r="122" spans="1:10" ht="26.4">
      <c r="A122" s="55" t="s">
        <v>162</v>
      </c>
      <c r="B122" s="4" t="s">
        <v>211</v>
      </c>
      <c r="C122" s="3" t="s">
        <v>16</v>
      </c>
      <c r="D122" s="132">
        <v>20</v>
      </c>
      <c r="E122" s="133">
        <v>38</v>
      </c>
      <c r="F122" s="133"/>
      <c r="G122" s="150">
        <v>0.8</v>
      </c>
      <c r="H122" s="150"/>
      <c r="I122" s="56">
        <f t="shared" si="22"/>
        <v>608</v>
      </c>
    </row>
    <row r="123" spans="1:10" ht="26.4">
      <c r="A123" s="55" t="s">
        <v>172</v>
      </c>
      <c r="B123" s="4" t="s">
        <v>158</v>
      </c>
      <c r="C123" s="3" t="s">
        <v>2</v>
      </c>
      <c r="D123" s="148">
        <v>20</v>
      </c>
      <c r="E123" s="149">
        <v>38</v>
      </c>
      <c r="F123" s="133"/>
      <c r="G123" s="150"/>
      <c r="H123" s="150"/>
      <c r="I123" s="56">
        <f t="shared" ref="I123:I125" si="23">TRUNC(PRODUCT(D123:G123)-H123,2)</f>
        <v>760</v>
      </c>
    </row>
    <row r="124" spans="1:10">
      <c r="A124" s="55" t="s">
        <v>173</v>
      </c>
      <c r="B124" s="4" t="s">
        <v>163</v>
      </c>
      <c r="C124" s="3" t="s">
        <v>1</v>
      </c>
      <c r="D124" s="132">
        <f>(20*(38/2.5))+(38*(20/2.5))</f>
        <v>608</v>
      </c>
      <c r="E124" s="133"/>
      <c r="F124" s="133"/>
      <c r="G124" s="150"/>
      <c r="H124" s="150"/>
      <c r="I124" s="56">
        <f t="shared" si="23"/>
        <v>608</v>
      </c>
    </row>
    <row r="125" spans="1:10" ht="26.4">
      <c r="A125" s="55" t="s">
        <v>174</v>
      </c>
      <c r="B125" s="4" t="s">
        <v>164</v>
      </c>
      <c r="C125" s="3" t="s">
        <v>1</v>
      </c>
      <c r="D125" s="132">
        <f>(20*(38/2.5))+(38*(20/2.5))</f>
        <v>608</v>
      </c>
      <c r="E125" s="133"/>
      <c r="F125" s="133"/>
      <c r="G125" s="150"/>
      <c r="H125" s="150"/>
      <c r="I125" s="56">
        <f t="shared" si="23"/>
        <v>608</v>
      </c>
    </row>
    <row r="126" spans="1:10" ht="66">
      <c r="A126" s="55" t="s">
        <v>210</v>
      </c>
      <c r="B126" s="4" t="s">
        <v>188</v>
      </c>
      <c r="C126" s="3" t="s">
        <v>1</v>
      </c>
      <c r="D126" s="132">
        <f>42.7+42.7+25.7+25.7</f>
        <v>136.80000000000001</v>
      </c>
      <c r="E126" s="133"/>
      <c r="F126" s="133"/>
      <c r="G126" s="150"/>
      <c r="H126" s="150"/>
      <c r="I126" s="56">
        <f t="shared" ref="I126" si="24">TRUNC(PRODUCT(D126:G126)-H126,2)</f>
        <v>136.80000000000001</v>
      </c>
    </row>
    <row r="127" spans="1:10" ht="13.8">
      <c r="A127" s="176"/>
      <c r="B127" s="177"/>
      <c r="C127" s="177"/>
      <c r="D127" s="177"/>
      <c r="E127" s="177"/>
      <c r="F127" s="177"/>
      <c r="G127" s="177"/>
      <c r="H127" s="177"/>
      <c r="I127" s="178"/>
    </row>
    <row r="128" spans="1:10" ht="16.5" customHeight="1">
      <c r="A128" s="198" t="s">
        <v>265</v>
      </c>
      <c r="B128" s="198"/>
      <c r="C128" s="198"/>
      <c r="D128" s="198"/>
      <c r="E128" s="198"/>
      <c r="F128" s="198"/>
      <c r="G128" s="198"/>
      <c r="H128" s="198"/>
      <c r="I128" s="198"/>
    </row>
    <row r="129" spans="1:10" ht="39.6">
      <c r="A129" s="55" t="s">
        <v>175</v>
      </c>
      <c r="B129" s="4" t="s">
        <v>232</v>
      </c>
      <c r="C129" s="3" t="s">
        <v>16</v>
      </c>
      <c r="D129" s="132"/>
      <c r="E129" s="133"/>
      <c r="F129" s="133"/>
      <c r="G129" s="150">
        <v>25492.71</v>
      </c>
      <c r="H129" s="150"/>
      <c r="I129" s="56">
        <f t="shared" ref="I129:I134" si="25">TRUNC(PRODUCT(D129:G129)-H129,2)</f>
        <v>25492.71</v>
      </c>
    </row>
    <row r="130" spans="1:10" ht="26.4">
      <c r="A130" s="55" t="s">
        <v>176</v>
      </c>
      <c r="B130" s="4" t="s">
        <v>233</v>
      </c>
      <c r="C130" s="3" t="s">
        <v>2</v>
      </c>
      <c r="D130" s="132"/>
      <c r="E130" s="133"/>
      <c r="F130" s="133"/>
      <c r="G130" s="150">
        <f>(42.7*25.7)+(42.7*8)+(25.7*8)</f>
        <v>1644.5900000000001</v>
      </c>
      <c r="H130" s="150"/>
      <c r="I130" s="56">
        <f t="shared" si="25"/>
        <v>1644.59</v>
      </c>
    </row>
    <row r="131" spans="1:10" ht="39.6">
      <c r="A131" s="55" t="s">
        <v>177</v>
      </c>
      <c r="B131" s="4" t="s">
        <v>234</v>
      </c>
      <c r="C131" s="3" t="s">
        <v>1</v>
      </c>
      <c r="D131" s="148">
        <v>42.7</v>
      </c>
      <c r="E131" s="149"/>
      <c r="F131" s="133"/>
      <c r="G131" s="150">
        <v>2</v>
      </c>
      <c r="H131" s="150"/>
      <c r="I131" s="56">
        <f t="shared" si="25"/>
        <v>85.4</v>
      </c>
    </row>
    <row r="132" spans="1:10">
      <c r="A132" s="55" t="s">
        <v>178</v>
      </c>
      <c r="B132" s="4" t="s">
        <v>236</v>
      </c>
      <c r="C132" s="3" t="s">
        <v>1</v>
      </c>
      <c r="D132" s="132">
        <v>42.7</v>
      </c>
      <c r="E132" s="133"/>
      <c r="F132" s="133"/>
      <c r="G132" s="150"/>
      <c r="H132" s="150"/>
      <c r="I132" s="56">
        <f t="shared" si="25"/>
        <v>42.7</v>
      </c>
    </row>
    <row r="133" spans="1:10" ht="39.6">
      <c r="A133" s="55" t="s">
        <v>237</v>
      </c>
      <c r="B133" s="4" t="s">
        <v>244</v>
      </c>
      <c r="C133" s="3" t="s">
        <v>1</v>
      </c>
      <c r="D133" s="132">
        <v>10</v>
      </c>
      <c r="E133" s="133"/>
      <c r="F133" s="133"/>
      <c r="G133" s="150">
        <v>4</v>
      </c>
      <c r="H133" s="150"/>
      <c r="I133" s="56">
        <f t="shared" si="25"/>
        <v>40</v>
      </c>
    </row>
    <row r="134" spans="1:10" ht="39.6">
      <c r="A134" s="55" t="s">
        <v>238</v>
      </c>
      <c r="B134" s="4" t="s">
        <v>245</v>
      </c>
      <c r="C134" s="3" t="s">
        <v>1</v>
      </c>
      <c r="D134" s="132">
        <v>25</v>
      </c>
      <c r="E134" s="133"/>
      <c r="F134" s="133"/>
      <c r="G134" s="150"/>
      <c r="H134" s="150"/>
      <c r="I134" s="56">
        <f t="shared" si="25"/>
        <v>25</v>
      </c>
    </row>
    <row r="135" spans="1:10" ht="26.4">
      <c r="A135" s="55" t="s">
        <v>239</v>
      </c>
      <c r="B135" s="4" t="s">
        <v>250</v>
      </c>
      <c r="C135" s="3" t="s">
        <v>1</v>
      </c>
      <c r="D135" s="132">
        <v>50</v>
      </c>
      <c r="E135" s="133"/>
      <c r="F135" s="133"/>
      <c r="G135" s="150"/>
      <c r="H135" s="150"/>
      <c r="I135" s="56">
        <f t="shared" ref="I135:I139" si="26">TRUNC(PRODUCT(D135:G135)-H135,2)</f>
        <v>50</v>
      </c>
    </row>
    <row r="136" spans="1:10" ht="52.8">
      <c r="A136" s="55" t="s">
        <v>240</v>
      </c>
      <c r="B136" s="4" t="s">
        <v>246</v>
      </c>
      <c r="C136" s="3" t="s">
        <v>104</v>
      </c>
      <c r="D136" s="148"/>
      <c r="E136" s="149"/>
      <c r="F136" s="133"/>
      <c r="G136" s="150">
        <v>12</v>
      </c>
      <c r="H136" s="150"/>
      <c r="I136" s="56">
        <f t="shared" si="26"/>
        <v>12</v>
      </c>
    </row>
    <row r="137" spans="1:10" ht="52.8">
      <c r="A137" s="55" t="s">
        <v>241</v>
      </c>
      <c r="B137" s="4" t="s">
        <v>247</v>
      </c>
      <c r="C137" s="3" t="s">
        <v>104</v>
      </c>
      <c r="D137" s="132"/>
      <c r="E137" s="133"/>
      <c r="F137" s="133"/>
      <c r="G137" s="150">
        <v>12</v>
      </c>
      <c r="H137" s="150"/>
      <c r="I137" s="56">
        <f t="shared" si="26"/>
        <v>12</v>
      </c>
    </row>
    <row r="138" spans="1:10" ht="39.6">
      <c r="A138" s="55" t="s">
        <v>242</v>
      </c>
      <c r="B138" s="4" t="s">
        <v>248</v>
      </c>
      <c r="C138" s="3" t="s">
        <v>104</v>
      </c>
      <c r="D138" s="132"/>
      <c r="E138" s="133"/>
      <c r="F138" s="133"/>
      <c r="G138" s="150">
        <v>3</v>
      </c>
      <c r="H138" s="150"/>
      <c r="I138" s="56">
        <f t="shared" si="26"/>
        <v>3</v>
      </c>
    </row>
    <row r="139" spans="1:10" ht="39.6">
      <c r="A139" s="55" t="s">
        <v>243</v>
      </c>
      <c r="B139" s="4" t="s">
        <v>249</v>
      </c>
      <c r="C139" s="3" t="s">
        <v>104</v>
      </c>
      <c r="D139" s="132"/>
      <c r="E139" s="133"/>
      <c r="F139" s="133"/>
      <c r="G139" s="150">
        <v>10</v>
      </c>
      <c r="H139" s="150"/>
      <c r="I139" s="56">
        <f t="shared" si="26"/>
        <v>10</v>
      </c>
    </row>
    <row r="140" spans="1:10" ht="13.8">
      <c r="A140" s="176"/>
      <c r="B140" s="177"/>
      <c r="C140" s="177"/>
      <c r="D140" s="177"/>
      <c r="E140" s="177"/>
      <c r="F140" s="177"/>
      <c r="G140" s="177"/>
      <c r="H140" s="177"/>
      <c r="I140" s="178"/>
    </row>
    <row r="141" spans="1:10" ht="16.5" customHeight="1">
      <c r="A141" s="198" t="s">
        <v>251</v>
      </c>
      <c r="B141" s="198"/>
      <c r="C141" s="198"/>
      <c r="D141" s="198"/>
      <c r="E141" s="198"/>
      <c r="F141" s="198"/>
      <c r="G141" s="198"/>
      <c r="H141" s="198"/>
      <c r="I141" s="198"/>
    </row>
    <row r="142" spans="1:10" ht="26.4">
      <c r="A142" s="55" t="s">
        <v>179</v>
      </c>
      <c r="B142" s="4" t="s">
        <v>166</v>
      </c>
      <c r="C142" s="3" t="s">
        <v>2</v>
      </c>
      <c r="D142" s="132"/>
      <c r="E142" s="133"/>
      <c r="F142" s="133"/>
      <c r="G142" s="150"/>
      <c r="H142" s="150"/>
      <c r="I142" s="56"/>
    </row>
    <row r="143" spans="1:10">
      <c r="A143" s="55"/>
      <c r="B143" s="4"/>
      <c r="C143" s="3"/>
      <c r="D143" s="132"/>
      <c r="E143" s="133"/>
      <c r="F143" s="133"/>
      <c r="G143" s="150"/>
      <c r="H143" s="150"/>
      <c r="I143" s="56"/>
    </row>
    <row r="144" spans="1:10">
      <c r="A144" s="55"/>
      <c r="B144" s="154" t="s">
        <v>202</v>
      </c>
      <c r="C144" s="3"/>
      <c r="D144" s="132"/>
      <c r="E144" s="133"/>
      <c r="F144" s="133"/>
      <c r="G144" s="150"/>
      <c r="H144" s="150"/>
      <c r="I144" s="56"/>
      <c r="J144" s="147"/>
    </row>
    <row r="145" spans="1:10">
      <c r="A145" s="55"/>
      <c r="B145" s="4"/>
      <c r="C145" s="3"/>
      <c r="D145" s="132"/>
      <c r="E145" s="133"/>
      <c r="F145" s="133"/>
      <c r="G145" s="150"/>
      <c r="H145" s="150"/>
      <c r="I145" s="56"/>
      <c r="J145" s="147"/>
    </row>
    <row r="146" spans="1:10">
      <c r="A146" s="55"/>
      <c r="B146" s="152" t="s">
        <v>281</v>
      </c>
      <c r="C146" s="3"/>
      <c r="D146" s="132">
        <v>31.62</v>
      </c>
      <c r="E146" s="133">
        <v>0.5</v>
      </c>
      <c r="F146" s="133"/>
      <c r="G146" s="150">
        <v>2</v>
      </c>
      <c r="H146" s="150"/>
      <c r="I146" s="56">
        <f t="shared" ref="I146:I149" si="27">TRUNC(PRODUCT(D146:G146)-H146,2)</f>
        <v>31.62</v>
      </c>
      <c r="J146" s="147"/>
    </row>
    <row r="147" spans="1:10">
      <c r="A147" s="55"/>
      <c r="B147" s="152" t="s">
        <v>281</v>
      </c>
      <c r="C147" s="3"/>
      <c r="D147" s="132">
        <v>38.04</v>
      </c>
      <c r="E147" s="133">
        <v>0.5</v>
      </c>
      <c r="F147" s="133"/>
      <c r="G147" s="150">
        <v>2</v>
      </c>
      <c r="H147" s="150"/>
      <c r="I147" s="56">
        <f t="shared" si="27"/>
        <v>38.04</v>
      </c>
      <c r="J147" s="147"/>
    </row>
    <row r="148" spans="1:10">
      <c r="A148" s="55"/>
      <c r="B148" s="152" t="s">
        <v>282</v>
      </c>
      <c r="C148" s="3"/>
      <c r="D148" s="132">
        <v>30.02</v>
      </c>
      <c r="E148" s="133">
        <v>0.5</v>
      </c>
      <c r="F148" s="133"/>
      <c r="G148" s="150">
        <v>2</v>
      </c>
      <c r="H148" s="150"/>
      <c r="I148" s="56">
        <f t="shared" si="27"/>
        <v>30.02</v>
      </c>
      <c r="J148" s="147"/>
    </row>
    <row r="149" spans="1:10">
      <c r="A149" s="55"/>
      <c r="B149" s="152" t="s">
        <v>282</v>
      </c>
      <c r="C149" s="3"/>
      <c r="D149" s="132">
        <v>36.44</v>
      </c>
      <c r="E149" s="133">
        <v>0.5</v>
      </c>
      <c r="F149" s="133"/>
      <c r="G149" s="150">
        <v>2</v>
      </c>
      <c r="H149" s="150"/>
      <c r="I149" s="56">
        <f t="shared" si="27"/>
        <v>36.44</v>
      </c>
      <c r="J149" s="147"/>
    </row>
    <row r="150" spans="1:10">
      <c r="A150" s="55"/>
      <c r="B150" s="152"/>
      <c r="C150" s="3"/>
      <c r="D150" s="132"/>
      <c r="E150" s="133"/>
      <c r="F150" s="133"/>
      <c r="G150" s="150"/>
      <c r="H150" s="150"/>
      <c r="I150" s="56"/>
      <c r="J150" s="147"/>
    </row>
    <row r="151" spans="1:10">
      <c r="A151" s="55"/>
      <c r="B151" s="154" t="s">
        <v>203</v>
      </c>
      <c r="C151" s="3"/>
      <c r="D151" s="132"/>
      <c r="E151" s="133"/>
      <c r="F151" s="133"/>
      <c r="G151" s="150"/>
      <c r="H151" s="150"/>
      <c r="I151" s="56"/>
      <c r="J151" s="147"/>
    </row>
    <row r="152" spans="1:10">
      <c r="A152" s="55"/>
      <c r="B152" s="4"/>
      <c r="C152" s="3"/>
      <c r="D152" s="132"/>
      <c r="E152" s="133"/>
      <c r="F152" s="133"/>
      <c r="G152" s="150"/>
      <c r="H152" s="150"/>
      <c r="I152" s="56"/>
      <c r="J152" s="147"/>
    </row>
    <row r="153" spans="1:10">
      <c r="A153" s="55"/>
      <c r="B153" s="152" t="s">
        <v>209</v>
      </c>
      <c r="C153" s="3"/>
      <c r="D153" s="132">
        <v>3.95</v>
      </c>
      <c r="E153" s="132"/>
      <c r="F153" s="132">
        <v>1.96</v>
      </c>
      <c r="G153" s="132">
        <v>20</v>
      </c>
      <c r="H153" s="150"/>
      <c r="I153" s="56">
        <f t="shared" ref="I153" si="28">TRUNC(PRODUCT(D153:G153)-H153,2)</f>
        <v>154.84</v>
      </c>
      <c r="J153" s="147"/>
    </row>
    <row r="154" spans="1:10">
      <c r="A154" s="205" t="s">
        <v>72</v>
      </c>
      <c r="B154" s="206"/>
      <c r="C154" s="206"/>
      <c r="D154" s="206"/>
      <c r="E154" s="206"/>
      <c r="F154" s="206"/>
      <c r="G154" s="206"/>
      <c r="H154" s="207"/>
      <c r="I154" s="153">
        <f>SUM(I146:I153)</f>
        <v>290.96000000000004</v>
      </c>
      <c r="J154" s="147"/>
    </row>
    <row r="155" spans="1:10" ht="39.6">
      <c r="A155" s="55" t="s">
        <v>180</v>
      </c>
      <c r="B155" s="4" t="s">
        <v>101</v>
      </c>
      <c r="C155" s="3" t="s">
        <v>2</v>
      </c>
      <c r="D155" s="132">
        <v>20</v>
      </c>
      <c r="E155" s="133">
        <v>38</v>
      </c>
      <c r="F155" s="133">
        <v>0.08</v>
      </c>
      <c r="G155" s="150"/>
      <c r="H155" s="150"/>
      <c r="I155" s="56">
        <f t="shared" ref="I155:I168" si="29">TRUNC(PRODUCT(D155:G155)-H155,2)</f>
        <v>60.8</v>
      </c>
    </row>
    <row r="156" spans="1:10">
      <c r="A156" s="55"/>
      <c r="B156" s="4"/>
      <c r="C156" s="3"/>
      <c r="D156" s="132"/>
      <c r="E156" s="133"/>
      <c r="F156" s="133"/>
      <c r="G156" s="150"/>
      <c r="H156" s="150"/>
      <c r="I156" s="56"/>
    </row>
    <row r="157" spans="1:10">
      <c r="A157" s="55"/>
      <c r="B157" s="154" t="s">
        <v>202</v>
      </c>
      <c r="C157" s="3"/>
      <c r="D157" s="132"/>
      <c r="E157" s="133"/>
      <c r="F157" s="133"/>
      <c r="G157" s="150"/>
      <c r="H157" s="150"/>
      <c r="I157" s="56"/>
      <c r="J157" s="147"/>
    </row>
    <row r="158" spans="1:10">
      <c r="A158" s="55"/>
      <c r="B158" s="4"/>
      <c r="C158" s="3"/>
      <c r="D158" s="132"/>
      <c r="E158" s="133"/>
      <c r="F158" s="133"/>
      <c r="G158" s="150"/>
      <c r="H158" s="150"/>
      <c r="I158" s="56"/>
      <c r="J158" s="147"/>
    </row>
    <row r="159" spans="1:10">
      <c r="A159" s="55"/>
      <c r="B159" s="152" t="s">
        <v>281</v>
      </c>
      <c r="C159" s="3"/>
      <c r="D159" s="132">
        <v>31.62</v>
      </c>
      <c r="E159" s="133">
        <v>0.5</v>
      </c>
      <c r="F159" s="133"/>
      <c r="G159" s="150">
        <v>2</v>
      </c>
      <c r="H159" s="150"/>
      <c r="I159" s="56">
        <f t="shared" ref="I159:I162" si="30">TRUNC(PRODUCT(D159:G159)-H159,2)</f>
        <v>31.62</v>
      </c>
      <c r="J159" s="147"/>
    </row>
    <row r="160" spans="1:10">
      <c r="A160" s="55"/>
      <c r="B160" s="152" t="s">
        <v>281</v>
      </c>
      <c r="C160" s="3"/>
      <c r="D160" s="132">
        <v>38.04</v>
      </c>
      <c r="E160" s="133">
        <v>0.5</v>
      </c>
      <c r="F160" s="133"/>
      <c r="G160" s="150">
        <v>2</v>
      </c>
      <c r="H160" s="150"/>
      <c r="I160" s="56">
        <f t="shared" si="30"/>
        <v>38.04</v>
      </c>
      <c r="J160" s="147"/>
    </row>
    <row r="161" spans="1:10">
      <c r="A161" s="55"/>
      <c r="B161" s="152" t="s">
        <v>282</v>
      </c>
      <c r="C161" s="3"/>
      <c r="D161" s="132">
        <v>30.02</v>
      </c>
      <c r="E161" s="133">
        <v>0.5</v>
      </c>
      <c r="F161" s="133"/>
      <c r="G161" s="150">
        <v>2</v>
      </c>
      <c r="H161" s="150"/>
      <c r="I161" s="56">
        <f t="shared" si="30"/>
        <v>30.02</v>
      </c>
      <c r="J161" s="147"/>
    </row>
    <row r="162" spans="1:10">
      <c r="A162" s="55"/>
      <c r="B162" s="152" t="s">
        <v>282</v>
      </c>
      <c r="C162" s="3"/>
      <c r="D162" s="132">
        <v>36.44</v>
      </c>
      <c r="E162" s="133">
        <v>0.5</v>
      </c>
      <c r="F162" s="133"/>
      <c r="G162" s="150">
        <v>2</v>
      </c>
      <c r="H162" s="150"/>
      <c r="I162" s="56">
        <f t="shared" si="30"/>
        <v>36.44</v>
      </c>
      <c r="J162" s="147"/>
    </row>
    <row r="163" spans="1:10">
      <c r="A163" s="55"/>
      <c r="B163" s="152"/>
      <c r="C163" s="3"/>
      <c r="D163" s="132"/>
      <c r="E163" s="133"/>
      <c r="F163" s="133"/>
      <c r="G163" s="150"/>
      <c r="H163" s="150"/>
      <c r="I163" s="56"/>
      <c r="J163" s="147"/>
    </row>
    <row r="164" spans="1:10">
      <c r="A164" s="55"/>
      <c r="B164" s="154" t="s">
        <v>203</v>
      </c>
      <c r="C164" s="3"/>
      <c r="D164" s="132"/>
      <c r="E164" s="133"/>
      <c r="F164" s="133"/>
      <c r="G164" s="150"/>
      <c r="H164" s="150"/>
      <c r="I164" s="56"/>
      <c r="J164" s="147"/>
    </row>
    <row r="165" spans="1:10">
      <c r="A165" s="55"/>
      <c r="B165" s="4"/>
      <c r="C165" s="3"/>
      <c r="D165" s="132"/>
      <c r="E165" s="133"/>
      <c r="F165" s="133"/>
      <c r="G165" s="150"/>
      <c r="H165" s="150"/>
      <c r="I165" s="56"/>
      <c r="J165" s="147"/>
    </row>
    <row r="166" spans="1:10">
      <c r="A166" s="55"/>
      <c r="B166" s="152" t="s">
        <v>209</v>
      </c>
      <c r="C166" s="3"/>
      <c r="D166" s="132">
        <v>3.95</v>
      </c>
      <c r="E166" s="132"/>
      <c r="F166" s="132">
        <v>1.96</v>
      </c>
      <c r="G166" s="132">
        <v>20</v>
      </c>
      <c r="H166" s="150"/>
      <c r="I166" s="56">
        <f t="shared" ref="I166" si="31">TRUNC(PRODUCT(D166:G166)-H166,2)</f>
        <v>154.84</v>
      </c>
      <c r="J166" s="147"/>
    </row>
    <row r="167" spans="1:10">
      <c r="A167" s="205" t="s">
        <v>72</v>
      </c>
      <c r="B167" s="206"/>
      <c r="C167" s="206"/>
      <c r="D167" s="206"/>
      <c r="E167" s="206"/>
      <c r="F167" s="206"/>
      <c r="G167" s="206"/>
      <c r="H167" s="207"/>
      <c r="I167" s="153">
        <f>SUM(I159:I166)</f>
        <v>290.96000000000004</v>
      </c>
      <c r="J167" s="147"/>
    </row>
    <row r="168" spans="1:10" ht="39.6">
      <c r="A168" s="55" t="s">
        <v>181</v>
      </c>
      <c r="B168" s="144" t="s">
        <v>212</v>
      </c>
      <c r="C168" s="3" t="s">
        <v>2</v>
      </c>
      <c r="D168" s="132">
        <f>36+36+18+18+18+32+60+18.84+(5.64*4)+1.4+1.4+3.05+3.05</f>
        <v>268.29999999999995</v>
      </c>
      <c r="E168" s="133">
        <v>0.1</v>
      </c>
      <c r="F168" s="133"/>
      <c r="G168" s="150"/>
      <c r="H168" s="150"/>
      <c r="I168" s="56">
        <f t="shared" si="29"/>
        <v>26.83</v>
      </c>
    </row>
    <row r="169" spans="1:10" ht="39.6">
      <c r="A169" s="55" t="s">
        <v>182</v>
      </c>
      <c r="B169" s="4" t="s">
        <v>167</v>
      </c>
      <c r="C169" s="3" t="s">
        <v>2</v>
      </c>
      <c r="D169" s="148"/>
      <c r="E169" s="149"/>
      <c r="F169" s="133"/>
      <c r="G169" s="150"/>
      <c r="H169" s="150"/>
      <c r="I169" s="56"/>
    </row>
    <row r="170" spans="1:10">
      <c r="A170" s="146"/>
      <c r="B170" s="155"/>
      <c r="C170" s="146"/>
      <c r="D170" s="56"/>
      <c r="E170" s="146"/>
      <c r="F170" s="146"/>
      <c r="G170" s="146"/>
      <c r="H170" s="146"/>
      <c r="I170" s="146"/>
    </row>
    <row r="171" spans="1:10">
      <c r="A171" s="55"/>
      <c r="B171" s="154" t="s">
        <v>213</v>
      </c>
      <c r="C171" s="3"/>
      <c r="D171" s="132"/>
      <c r="E171" s="133"/>
      <c r="F171" s="133"/>
      <c r="G171" s="150"/>
      <c r="H171" s="150"/>
      <c r="I171" s="56"/>
      <c r="J171" s="147"/>
    </row>
    <row r="172" spans="1:10">
      <c r="A172" s="55"/>
      <c r="B172" s="4"/>
      <c r="C172" s="3"/>
      <c r="D172" s="132"/>
      <c r="E172" s="133"/>
      <c r="F172" s="133"/>
      <c r="G172" s="150"/>
      <c r="H172" s="150"/>
      <c r="I172" s="56"/>
      <c r="J172" s="147"/>
    </row>
    <row r="173" spans="1:10">
      <c r="A173" s="55"/>
      <c r="B173" s="152" t="s">
        <v>214</v>
      </c>
      <c r="C173" s="3"/>
      <c r="D173" s="132">
        <f>36+2.4</f>
        <v>38.4</v>
      </c>
      <c r="E173" s="133"/>
      <c r="F173" s="133">
        <v>1.8</v>
      </c>
      <c r="G173" s="150">
        <v>2</v>
      </c>
      <c r="H173" s="150"/>
      <c r="I173" s="56">
        <f t="shared" ref="I173" si="32">TRUNC(PRODUCT(D173:G173)-H173,2)</f>
        <v>138.24</v>
      </c>
      <c r="J173" s="147"/>
    </row>
    <row r="174" spans="1:10">
      <c r="A174" s="205" t="s">
        <v>72</v>
      </c>
      <c r="B174" s="206"/>
      <c r="C174" s="206"/>
      <c r="D174" s="206"/>
      <c r="E174" s="206"/>
      <c r="F174" s="206"/>
      <c r="G174" s="206"/>
      <c r="H174" s="207"/>
      <c r="I174" s="153">
        <f>SUM(I173:I173)</f>
        <v>138.24</v>
      </c>
      <c r="J174" s="147"/>
    </row>
    <row r="175" spans="1:10" ht="13.8">
      <c r="A175" s="176"/>
      <c r="B175" s="177"/>
      <c r="C175" s="177"/>
      <c r="D175" s="177"/>
      <c r="E175" s="177"/>
      <c r="F175" s="177"/>
      <c r="G175" s="177"/>
      <c r="H175" s="177"/>
      <c r="I175" s="178"/>
    </row>
    <row r="176" spans="1:10" ht="16.5" customHeight="1">
      <c r="A176" s="198" t="s">
        <v>252</v>
      </c>
      <c r="B176" s="198"/>
      <c r="C176" s="198"/>
      <c r="D176" s="198"/>
      <c r="E176" s="198"/>
      <c r="F176" s="198"/>
      <c r="G176" s="198"/>
      <c r="H176" s="198"/>
      <c r="I176" s="198"/>
    </row>
    <row r="177" spans="1:10" ht="66">
      <c r="A177" s="55" t="s">
        <v>183</v>
      </c>
      <c r="B177" s="4" t="s">
        <v>168</v>
      </c>
      <c r="C177" s="3" t="s">
        <v>2</v>
      </c>
      <c r="D177" s="132"/>
      <c r="E177" s="133"/>
      <c r="F177" s="133"/>
      <c r="G177" s="150"/>
      <c r="H177" s="150"/>
      <c r="I177" s="56"/>
    </row>
    <row r="178" spans="1:10">
      <c r="A178" s="146"/>
      <c r="B178" s="155"/>
      <c r="C178" s="146"/>
      <c r="D178" s="56"/>
      <c r="E178" s="146"/>
      <c r="F178" s="146"/>
      <c r="G178" s="146"/>
      <c r="H178" s="146"/>
      <c r="I178" s="146"/>
    </row>
    <row r="179" spans="1:10">
      <c r="A179" s="55"/>
      <c r="B179" s="154" t="s">
        <v>213</v>
      </c>
      <c r="C179" s="3"/>
      <c r="D179" s="132"/>
      <c r="E179" s="133"/>
      <c r="F179" s="133"/>
      <c r="G179" s="150"/>
      <c r="H179" s="150"/>
      <c r="I179" s="56"/>
      <c r="J179" s="147"/>
    </row>
    <row r="180" spans="1:10">
      <c r="A180" s="55"/>
      <c r="B180" s="4"/>
      <c r="C180" s="3"/>
      <c r="D180" s="132"/>
      <c r="E180" s="133"/>
      <c r="F180" s="133"/>
      <c r="G180" s="150"/>
      <c r="H180" s="150"/>
      <c r="I180" s="56"/>
      <c r="J180" s="147"/>
    </row>
    <row r="181" spans="1:10">
      <c r="A181" s="55"/>
      <c r="B181" s="152" t="s">
        <v>214</v>
      </c>
      <c r="C181" s="3"/>
      <c r="D181" s="132">
        <f>36+2.4</f>
        <v>38.4</v>
      </c>
      <c r="E181" s="133"/>
      <c r="F181" s="133">
        <v>1.8</v>
      </c>
      <c r="G181" s="150">
        <v>2</v>
      </c>
      <c r="H181" s="150"/>
      <c r="I181" s="56">
        <f t="shared" ref="I181" si="33">TRUNC(PRODUCT(D181:G181)-H181,2)</f>
        <v>138.24</v>
      </c>
      <c r="J181" s="147"/>
    </row>
    <row r="182" spans="1:10">
      <c r="A182" s="205" t="s">
        <v>72</v>
      </c>
      <c r="B182" s="206"/>
      <c r="C182" s="206"/>
      <c r="D182" s="206"/>
      <c r="E182" s="206"/>
      <c r="F182" s="206"/>
      <c r="G182" s="206"/>
      <c r="H182" s="207"/>
      <c r="I182" s="153">
        <f>SUM(I181:I181)</f>
        <v>138.24</v>
      </c>
      <c r="J182" s="147"/>
    </row>
    <row r="183" spans="1:10" ht="26.4">
      <c r="A183" s="55" t="s">
        <v>184</v>
      </c>
      <c r="B183" s="4" t="s">
        <v>109</v>
      </c>
      <c r="C183" s="3" t="s">
        <v>104</v>
      </c>
      <c r="D183" s="132"/>
      <c r="E183" s="133"/>
      <c r="F183" s="133"/>
      <c r="G183" s="150">
        <v>2</v>
      </c>
      <c r="H183" s="150"/>
      <c r="I183" s="56">
        <f t="shared" ref="I183:I185" si="34">TRUNC(PRODUCT(D183:G183)-H183,2)</f>
        <v>2</v>
      </c>
    </row>
    <row r="184" spans="1:10" ht="52.8">
      <c r="A184" s="55" t="s">
        <v>185</v>
      </c>
      <c r="B184" s="4" t="s">
        <v>169</v>
      </c>
      <c r="C184" s="3" t="s">
        <v>103</v>
      </c>
      <c r="D184" s="132"/>
      <c r="E184" s="133"/>
      <c r="F184" s="133"/>
      <c r="G184" s="150">
        <v>1</v>
      </c>
      <c r="H184" s="150"/>
      <c r="I184" s="56">
        <f t="shared" si="34"/>
        <v>1</v>
      </c>
    </row>
    <row r="185" spans="1:10" ht="52.8">
      <c r="A185" s="55" t="s">
        <v>186</v>
      </c>
      <c r="B185" s="4" t="s">
        <v>196</v>
      </c>
      <c r="C185" s="3" t="s">
        <v>103</v>
      </c>
      <c r="D185" s="148"/>
      <c r="E185" s="149"/>
      <c r="F185" s="133"/>
      <c r="G185" s="150">
        <v>1</v>
      </c>
      <c r="H185" s="150"/>
      <c r="I185" s="56">
        <f t="shared" si="34"/>
        <v>1</v>
      </c>
    </row>
    <row r="186" spans="1:10" ht="13.8">
      <c r="A186" s="176"/>
      <c r="B186" s="177"/>
      <c r="C186" s="177"/>
      <c r="D186" s="177"/>
      <c r="E186" s="177"/>
      <c r="F186" s="177"/>
      <c r="G186" s="177"/>
      <c r="H186" s="177"/>
      <c r="I186" s="178"/>
    </row>
    <row r="187" spans="1:10" ht="16.5" customHeight="1">
      <c r="A187" s="198" t="s">
        <v>253</v>
      </c>
      <c r="B187" s="198"/>
      <c r="C187" s="198"/>
      <c r="D187" s="198"/>
      <c r="E187" s="198"/>
      <c r="F187" s="198"/>
      <c r="G187" s="198"/>
      <c r="H187" s="198"/>
      <c r="I187" s="198"/>
    </row>
    <row r="188" spans="1:10" ht="26.4">
      <c r="A188" s="55" t="s">
        <v>187</v>
      </c>
      <c r="B188" s="4" t="s">
        <v>189</v>
      </c>
      <c r="C188" s="3" t="s">
        <v>104</v>
      </c>
      <c r="D188" s="132"/>
      <c r="E188" s="133"/>
      <c r="F188" s="133"/>
      <c r="G188" s="150">
        <f>6*4</f>
        <v>24</v>
      </c>
      <c r="H188" s="150"/>
      <c r="I188" s="56">
        <f t="shared" ref="I188:I194" si="35">TRUNC(PRODUCT(D188:G188)-H188,2)</f>
        <v>24</v>
      </c>
    </row>
    <row r="189" spans="1:10" ht="26.4">
      <c r="A189" s="55" t="s">
        <v>254</v>
      </c>
      <c r="B189" s="4" t="s">
        <v>113</v>
      </c>
      <c r="C189" s="3" t="s">
        <v>104</v>
      </c>
      <c r="D189" s="132"/>
      <c r="E189" s="133"/>
      <c r="F189" s="133"/>
      <c r="G189" s="150">
        <v>1</v>
      </c>
      <c r="H189" s="150"/>
      <c r="I189" s="56">
        <f t="shared" si="35"/>
        <v>1</v>
      </c>
    </row>
    <row r="190" spans="1:10" ht="52.8">
      <c r="A190" s="55" t="s">
        <v>255</v>
      </c>
      <c r="B190" s="4" t="s">
        <v>190</v>
      </c>
      <c r="C190" s="3" t="s">
        <v>104</v>
      </c>
      <c r="D190" s="148"/>
      <c r="E190" s="149"/>
      <c r="F190" s="133"/>
      <c r="G190" s="150">
        <v>1</v>
      </c>
      <c r="H190" s="150"/>
      <c r="I190" s="56">
        <f t="shared" si="35"/>
        <v>1</v>
      </c>
    </row>
    <row r="191" spans="1:10" ht="26.4">
      <c r="A191" s="55" t="s">
        <v>256</v>
      </c>
      <c r="B191" s="4" t="s">
        <v>114</v>
      </c>
      <c r="C191" s="3" t="s">
        <v>104</v>
      </c>
      <c r="D191" s="132"/>
      <c r="E191" s="133"/>
      <c r="F191" s="133"/>
      <c r="G191" s="150">
        <v>6</v>
      </c>
      <c r="H191" s="150"/>
      <c r="I191" s="56">
        <f t="shared" si="35"/>
        <v>6</v>
      </c>
    </row>
    <row r="192" spans="1:10" ht="39.6">
      <c r="A192" s="55" t="s">
        <v>257</v>
      </c>
      <c r="B192" s="144" t="s">
        <v>285</v>
      </c>
      <c r="C192" s="1" t="s">
        <v>1</v>
      </c>
      <c r="D192" s="132"/>
      <c r="E192" s="133"/>
      <c r="F192" s="133"/>
      <c r="G192" s="150">
        <v>135.4</v>
      </c>
      <c r="H192" s="150"/>
      <c r="I192" s="56">
        <f t="shared" si="35"/>
        <v>135.4</v>
      </c>
    </row>
    <row r="193" spans="1:9" ht="39.6">
      <c r="A193" s="55" t="s">
        <v>258</v>
      </c>
      <c r="B193" s="144" t="s">
        <v>286</v>
      </c>
      <c r="C193" s="1" t="s">
        <v>1</v>
      </c>
      <c r="D193" s="132"/>
      <c r="E193" s="133"/>
      <c r="F193" s="133"/>
      <c r="G193" s="150">
        <v>40.74</v>
      </c>
      <c r="H193" s="150"/>
      <c r="I193" s="56">
        <f t="shared" ref="I193" si="36">TRUNC(PRODUCT(D193:G193)-H193,2)</f>
        <v>40.74</v>
      </c>
    </row>
    <row r="194" spans="1:9" ht="39.6">
      <c r="A194" s="55" t="s">
        <v>259</v>
      </c>
      <c r="B194" s="144" t="s">
        <v>287</v>
      </c>
      <c r="C194" s="1" t="s">
        <v>1</v>
      </c>
      <c r="D194" s="132"/>
      <c r="E194" s="133"/>
      <c r="F194" s="133"/>
      <c r="G194" s="150">
        <v>15.72</v>
      </c>
      <c r="H194" s="150"/>
      <c r="I194" s="56">
        <f t="shared" si="35"/>
        <v>15.72</v>
      </c>
    </row>
    <row r="195" spans="1:9" ht="39.6">
      <c r="A195" s="55" t="s">
        <v>260</v>
      </c>
      <c r="B195" s="4" t="s">
        <v>215</v>
      </c>
      <c r="C195" s="3" t="s">
        <v>1</v>
      </c>
      <c r="D195" s="132"/>
      <c r="E195" s="133"/>
      <c r="F195" s="133"/>
      <c r="G195" s="150">
        <f>232.91+87.63+73.03+72.23</f>
        <v>465.79999999999995</v>
      </c>
      <c r="H195" s="150"/>
      <c r="I195" s="56">
        <f t="shared" ref="I195:I197" si="37">TRUNC(PRODUCT(D195:G195)-H195,2)</f>
        <v>465.8</v>
      </c>
    </row>
    <row r="196" spans="1:9" ht="39.6">
      <c r="A196" s="55" t="s">
        <v>261</v>
      </c>
      <c r="B196" s="4" t="s">
        <v>191</v>
      </c>
      <c r="C196" s="3" t="s">
        <v>1</v>
      </c>
      <c r="D196" s="148"/>
      <c r="E196" s="149"/>
      <c r="F196" s="133"/>
      <c r="G196" s="150">
        <f>15.72*4</f>
        <v>62.88</v>
      </c>
      <c r="H196" s="150"/>
      <c r="I196" s="56">
        <f t="shared" si="37"/>
        <v>62.88</v>
      </c>
    </row>
    <row r="197" spans="1:9" ht="39.6">
      <c r="A197" s="55" t="s">
        <v>262</v>
      </c>
      <c r="B197" s="4" t="s">
        <v>284</v>
      </c>
      <c r="C197" s="3" t="s">
        <v>1</v>
      </c>
      <c r="D197" s="132"/>
      <c r="E197" s="133"/>
      <c r="F197" s="133"/>
      <c r="G197" s="150">
        <f>3.7*4</f>
        <v>14.8</v>
      </c>
      <c r="H197" s="150"/>
      <c r="I197" s="56">
        <f t="shared" si="37"/>
        <v>14.8</v>
      </c>
    </row>
    <row r="198" spans="1:9">
      <c r="A198" s="156"/>
      <c r="B198" s="157"/>
      <c r="C198" s="158"/>
      <c r="D198" s="158"/>
      <c r="E198" s="158"/>
      <c r="F198" s="158"/>
      <c r="G198" s="158"/>
      <c r="H198" s="158"/>
      <c r="I198" s="159"/>
    </row>
    <row r="199" spans="1:9" ht="16.5" customHeight="1">
      <c r="A199" s="198" t="s">
        <v>263</v>
      </c>
      <c r="B199" s="198"/>
      <c r="C199" s="198"/>
      <c r="D199" s="198"/>
      <c r="E199" s="198"/>
      <c r="F199" s="198"/>
      <c r="G199" s="198"/>
      <c r="H199" s="198"/>
      <c r="I199" s="198"/>
    </row>
    <row r="200" spans="1:9" ht="26.4">
      <c r="A200" s="55" t="s">
        <v>264</v>
      </c>
      <c r="B200" s="4" t="s">
        <v>192</v>
      </c>
      <c r="C200" s="3" t="s">
        <v>2</v>
      </c>
      <c r="D200" s="148">
        <v>42.7</v>
      </c>
      <c r="E200" s="149">
        <v>25.7</v>
      </c>
      <c r="F200" s="133"/>
      <c r="G200" s="150"/>
      <c r="H200" s="150"/>
      <c r="I200" s="56">
        <f t="shared" ref="I200" si="38">TRUNC(PRODUCT(D200:G200)-H200,2)</f>
        <v>1097.3900000000001</v>
      </c>
    </row>
    <row r="201" spans="1:9">
      <c r="A201" s="61"/>
      <c r="B201" s="62"/>
      <c r="C201" s="61"/>
      <c r="D201" s="61"/>
      <c r="E201" s="61"/>
      <c r="F201" s="61"/>
      <c r="G201" s="61"/>
      <c r="H201" s="61"/>
      <c r="I201" s="61"/>
    </row>
    <row r="202" spans="1:9">
      <c r="A202" s="61"/>
      <c r="B202" s="62"/>
      <c r="C202" s="61"/>
      <c r="D202" s="61"/>
      <c r="E202" s="61"/>
      <c r="F202" s="61"/>
      <c r="G202" s="61"/>
      <c r="H202" s="61"/>
      <c r="I202" s="61"/>
    </row>
    <row r="203" spans="1:9">
      <c r="A203" s="61"/>
      <c r="B203" s="62"/>
      <c r="C203" s="61"/>
      <c r="D203" s="61"/>
      <c r="E203" s="61"/>
      <c r="F203" s="61"/>
      <c r="G203" s="61"/>
      <c r="H203" s="61"/>
      <c r="I203" s="61"/>
    </row>
    <row r="204" spans="1:9">
      <c r="A204" s="61"/>
      <c r="B204" s="62"/>
      <c r="C204" s="61"/>
      <c r="D204" s="61"/>
      <c r="E204" s="61"/>
      <c r="F204" s="61"/>
      <c r="G204" s="61"/>
      <c r="H204" s="61"/>
      <c r="I204" s="61"/>
    </row>
    <row r="205" spans="1:9">
      <c r="A205" s="61"/>
      <c r="B205" s="62"/>
      <c r="C205" s="61"/>
      <c r="D205" s="61"/>
      <c r="E205" s="61"/>
      <c r="F205" s="61"/>
      <c r="G205" s="61"/>
      <c r="H205" s="61"/>
      <c r="I205" s="61"/>
    </row>
    <row r="206" spans="1:9">
      <c r="A206" s="61"/>
      <c r="B206" s="62"/>
      <c r="C206" s="61"/>
      <c r="D206" s="61"/>
      <c r="E206" s="61"/>
      <c r="F206" s="61"/>
      <c r="G206" s="61"/>
      <c r="H206" s="61"/>
      <c r="I206" s="61"/>
    </row>
    <row r="207" spans="1:9">
      <c r="A207" s="61"/>
      <c r="B207" s="62"/>
      <c r="C207" s="61"/>
      <c r="D207" s="61"/>
      <c r="E207" s="61"/>
      <c r="F207" s="61"/>
      <c r="G207" s="61"/>
      <c r="H207" s="61"/>
      <c r="I207" s="61"/>
    </row>
    <row r="208" spans="1:9">
      <c r="A208" s="61"/>
      <c r="B208" s="62"/>
      <c r="C208" s="61"/>
      <c r="D208" s="61"/>
      <c r="E208" s="61"/>
      <c r="F208" s="61"/>
      <c r="G208" s="61"/>
      <c r="H208" s="61"/>
      <c r="I208" s="61"/>
    </row>
    <row r="209" spans="1:9">
      <c r="A209" s="61"/>
      <c r="B209" s="62"/>
      <c r="C209" s="61"/>
      <c r="D209" s="61"/>
      <c r="E209" s="61"/>
      <c r="F209" s="61"/>
      <c r="G209" s="61"/>
      <c r="H209" s="61"/>
      <c r="I209" s="61"/>
    </row>
    <row r="210" spans="1:9">
      <c r="A210" s="61"/>
      <c r="B210" s="62"/>
      <c r="C210" s="61"/>
      <c r="D210" s="61"/>
      <c r="E210" s="61"/>
      <c r="F210" s="61"/>
      <c r="G210" s="61"/>
      <c r="H210" s="61"/>
      <c r="I210" s="61"/>
    </row>
    <row r="211" spans="1:9">
      <c r="A211" s="61"/>
      <c r="B211" s="62"/>
      <c r="C211" s="61"/>
      <c r="D211" s="61"/>
      <c r="E211" s="61"/>
      <c r="F211" s="61"/>
      <c r="G211" s="61"/>
      <c r="H211" s="61"/>
      <c r="I211" s="61"/>
    </row>
    <row r="212" spans="1:9">
      <c r="A212" s="61"/>
      <c r="B212" s="62"/>
      <c r="C212" s="61"/>
      <c r="D212" s="61"/>
      <c r="E212" s="61"/>
      <c r="F212" s="61"/>
      <c r="G212" s="61"/>
      <c r="H212" s="61"/>
      <c r="I212" s="61"/>
    </row>
    <row r="213" spans="1:9">
      <c r="A213" s="61"/>
      <c r="B213" s="62"/>
      <c r="C213" s="61"/>
      <c r="D213" s="61"/>
      <c r="E213" s="61"/>
      <c r="F213" s="61"/>
      <c r="G213" s="61"/>
      <c r="H213" s="61"/>
      <c r="I213" s="61"/>
    </row>
    <row r="214" spans="1:9">
      <c r="A214" s="61"/>
      <c r="B214" s="62"/>
      <c r="C214" s="61"/>
      <c r="D214" s="61"/>
      <c r="E214" s="61"/>
      <c r="F214" s="61"/>
      <c r="G214" s="61"/>
      <c r="H214" s="61"/>
      <c r="I214" s="61"/>
    </row>
    <row r="215" spans="1:9">
      <c r="A215" s="61"/>
      <c r="B215" s="62"/>
      <c r="C215" s="61"/>
      <c r="D215" s="61"/>
      <c r="E215" s="61"/>
      <c r="F215" s="61"/>
      <c r="G215" s="61"/>
      <c r="H215" s="61"/>
      <c r="I215" s="61"/>
    </row>
    <row r="216" spans="1:9">
      <c r="A216" s="61"/>
      <c r="B216" s="62"/>
      <c r="C216" s="61"/>
      <c r="D216" s="61"/>
      <c r="E216" s="61"/>
      <c r="F216" s="61"/>
      <c r="G216" s="61"/>
      <c r="H216" s="61"/>
      <c r="I216" s="61"/>
    </row>
    <row r="217" spans="1:9">
      <c r="A217" s="61"/>
      <c r="B217" s="62"/>
      <c r="C217" s="61"/>
      <c r="D217" s="61"/>
      <c r="E217" s="61"/>
      <c r="F217" s="61"/>
      <c r="G217" s="61"/>
      <c r="H217" s="61"/>
      <c r="I217" s="61"/>
    </row>
    <row r="218" spans="1:9">
      <c r="A218" s="61"/>
      <c r="B218" s="62"/>
      <c r="C218" s="61"/>
      <c r="D218" s="61"/>
      <c r="E218" s="61"/>
      <c r="F218" s="61"/>
      <c r="G218" s="61"/>
      <c r="H218" s="61"/>
      <c r="I218" s="61"/>
    </row>
    <row r="219" spans="1:9">
      <c r="A219" s="61"/>
      <c r="B219" s="62"/>
      <c r="C219" s="61"/>
      <c r="D219" s="61"/>
      <c r="E219" s="61"/>
      <c r="F219" s="61"/>
      <c r="G219" s="61"/>
      <c r="H219" s="61"/>
      <c r="I219" s="61"/>
    </row>
    <row r="220" spans="1:9">
      <c r="A220" s="61"/>
      <c r="B220" s="62"/>
      <c r="C220" s="61"/>
      <c r="D220" s="61"/>
      <c r="E220" s="61"/>
      <c r="F220" s="61"/>
      <c r="G220" s="61"/>
      <c r="H220" s="61"/>
      <c r="I220" s="61"/>
    </row>
    <row r="221" spans="1:9">
      <c r="A221" s="61"/>
      <c r="B221" s="62"/>
      <c r="C221" s="61"/>
      <c r="D221" s="61"/>
      <c r="E221" s="61"/>
      <c r="F221" s="61"/>
      <c r="G221" s="61"/>
      <c r="H221" s="61"/>
      <c r="I221" s="61"/>
    </row>
    <row r="222" spans="1:9">
      <c r="A222" s="61"/>
      <c r="B222" s="62"/>
      <c r="C222" s="61"/>
      <c r="D222" s="61"/>
      <c r="E222" s="61"/>
      <c r="F222" s="61"/>
      <c r="G222" s="61"/>
      <c r="H222" s="61"/>
      <c r="I222" s="61"/>
    </row>
    <row r="223" spans="1:9">
      <c r="A223" s="61"/>
      <c r="B223" s="62"/>
      <c r="C223" s="61"/>
      <c r="D223" s="61"/>
      <c r="E223" s="61"/>
      <c r="F223" s="61"/>
      <c r="G223" s="61"/>
      <c r="H223" s="61"/>
      <c r="I223" s="61"/>
    </row>
    <row r="224" spans="1:9">
      <c r="A224" s="61"/>
      <c r="B224" s="62"/>
      <c r="C224" s="61"/>
      <c r="D224" s="61"/>
      <c r="E224" s="61"/>
      <c r="F224" s="61"/>
      <c r="G224" s="61"/>
      <c r="H224" s="61"/>
      <c r="I224" s="61"/>
    </row>
    <row r="225" spans="1:9">
      <c r="A225" s="61"/>
      <c r="B225" s="62"/>
      <c r="C225" s="61"/>
      <c r="D225" s="61"/>
      <c r="E225" s="61"/>
      <c r="F225" s="61"/>
      <c r="G225" s="61"/>
      <c r="H225" s="61"/>
      <c r="I225" s="61"/>
    </row>
    <row r="226" spans="1:9">
      <c r="A226" s="61"/>
      <c r="B226" s="62"/>
      <c r="C226" s="61"/>
      <c r="D226" s="61"/>
      <c r="E226" s="61"/>
      <c r="F226" s="61"/>
      <c r="G226" s="61"/>
      <c r="H226" s="61"/>
      <c r="I226" s="61"/>
    </row>
    <row r="227" spans="1:9">
      <c r="A227" s="61"/>
      <c r="B227" s="62"/>
      <c r="C227" s="61"/>
      <c r="D227" s="61"/>
      <c r="E227" s="61"/>
      <c r="F227" s="61"/>
      <c r="G227" s="61"/>
      <c r="H227" s="61"/>
      <c r="I227" s="61"/>
    </row>
    <row r="228" spans="1:9">
      <c r="A228" s="61"/>
      <c r="B228" s="62"/>
      <c r="C228" s="61"/>
      <c r="D228" s="61"/>
      <c r="E228" s="61"/>
      <c r="F228" s="61"/>
      <c r="G228" s="61"/>
      <c r="H228" s="61"/>
      <c r="I228" s="61"/>
    </row>
    <row r="229" spans="1:9">
      <c r="A229" s="61"/>
      <c r="B229" s="62"/>
      <c r="C229" s="61"/>
      <c r="D229" s="61"/>
      <c r="E229" s="61"/>
      <c r="F229" s="61"/>
      <c r="G229" s="61"/>
      <c r="H229" s="61"/>
      <c r="I229" s="61"/>
    </row>
    <row r="230" spans="1:9">
      <c r="A230" s="61"/>
      <c r="B230" s="62"/>
      <c r="C230" s="61"/>
      <c r="D230" s="61"/>
      <c r="E230" s="61"/>
      <c r="F230" s="61"/>
      <c r="G230" s="61"/>
      <c r="H230" s="61"/>
      <c r="I230" s="61"/>
    </row>
    <row r="231" spans="1:9">
      <c r="A231" s="61"/>
      <c r="B231" s="62"/>
      <c r="C231" s="61"/>
      <c r="D231" s="61"/>
      <c r="E231" s="61"/>
      <c r="F231" s="61"/>
      <c r="G231" s="61"/>
      <c r="H231" s="61"/>
      <c r="I231" s="61"/>
    </row>
    <row r="232" spans="1:9">
      <c r="A232" s="61"/>
      <c r="B232" s="62"/>
      <c r="C232" s="61"/>
      <c r="D232" s="61"/>
      <c r="E232" s="61"/>
      <c r="F232" s="61"/>
      <c r="G232" s="61"/>
      <c r="H232" s="61"/>
      <c r="I232" s="61"/>
    </row>
    <row r="233" spans="1:9">
      <c r="A233" s="61"/>
      <c r="B233" s="62"/>
      <c r="C233" s="61"/>
      <c r="D233" s="61"/>
      <c r="E233" s="61"/>
      <c r="F233" s="61"/>
      <c r="G233" s="61"/>
      <c r="H233" s="61"/>
      <c r="I233" s="61"/>
    </row>
    <row r="234" spans="1:9">
      <c r="A234" s="61"/>
      <c r="B234" s="62"/>
      <c r="C234" s="61"/>
      <c r="D234" s="61"/>
      <c r="E234" s="61"/>
      <c r="F234" s="61"/>
      <c r="G234" s="61"/>
      <c r="H234" s="61"/>
      <c r="I234" s="61"/>
    </row>
    <row r="235" spans="1:9">
      <c r="A235" s="61"/>
      <c r="B235" s="62"/>
      <c r="C235" s="61"/>
      <c r="D235" s="61"/>
      <c r="E235" s="61"/>
      <c r="F235" s="61"/>
      <c r="G235" s="61"/>
      <c r="H235" s="61"/>
      <c r="I235" s="61"/>
    </row>
    <row r="236" spans="1:9">
      <c r="A236" s="61"/>
      <c r="B236" s="62"/>
      <c r="C236" s="61"/>
      <c r="D236" s="61"/>
      <c r="E236" s="61"/>
      <c r="F236" s="61"/>
      <c r="G236" s="61"/>
      <c r="H236" s="61"/>
      <c r="I236" s="61"/>
    </row>
    <row r="237" spans="1:9">
      <c r="A237" s="61"/>
      <c r="B237" s="62"/>
      <c r="C237" s="61"/>
      <c r="D237" s="61"/>
      <c r="E237" s="61"/>
      <c r="F237" s="61"/>
      <c r="G237" s="61"/>
      <c r="H237" s="61"/>
      <c r="I237" s="61"/>
    </row>
    <row r="238" spans="1:9">
      <c r="A238" s="61"/>
      <c r="B238" s="62"/>
      <c r="C238" s="61"/>
      <c r="D238" s="61"/>
      <c r="E238" s="61"/>
      <c r="F238" s="61"/>
      <c r="G238" s="61"/>
      <c r="H238" s="61"/>
      <c r="I238" s="61"/>
    </row>
    <row r="239" spans="1:9">
      <c r="A239" s="61"/>
      <c r="B239" s="62"/>
      <c r="C239" s="61"/>
      <c r="D239" s="61"/>
      <c r="E239" s="61"/>
      <c r="F239" s="61"/>
      <c r="G239" s="61"/>
      <c r="H239" s="61"/>
      <c r="I239" s="61"/>
    </row>
    <row r="240" spans="1:9">
      <c r="A240" s="61"/>
      <c r="B240" s="62"/>
      <c r="C240" s="61"/>
      <c r="D240" s="61"/>
      <c r="E240" s="61"/>
      <c r="F240" s="61"/>
      <c r="G240" s="61"/>
      <c r="H240" s="61"/>
      <c r="I240" s="61"/>
    </row>
    <row r="241" spans="1:9">
      <c r="A241" s="61"/>
      <c r="B241" s="62"/>
      <c r="C241" s="61"/>
      <c r="D241" s="61"/>
      <c r="E241" s="61"/>
      <c r="F241" s="61"/>
      <c r="G241" s="61"/>
      <c r="H241" s="61"/>
      <c r="I241" s="61"/>
    </row>
    <row r="242" spans="1:9">
      <c r="A242" s="61"/>
      <c r="B242" s="62"/>
      <c r="C242" s="61"/>
      <c r="D242" s="61"/>
      <c r="E242" s="61"/>
      <c r="F242" s="61"/>
      <c r="G242" s="61"/>
      <c r="H242" s="61"/>
      <c r="I242" s="61"/>
    </row>
    <row r="243" spans="1:9">
      <c r="A243" s="61"/>
      <c r="B243" s="62"/>
      <c r="C243" s="61"/>
      <c r="D243" s="61"/>
      <c r="E243" s="61"/>
      <c r="F243" s="61"/>
      <c r="G243" s="61"/>
      <c r="H243" s="61"/>
      <c r="I243" s="61"/>
    </row>
    <row r="244" spans="1:9">
      <c r="A244" s="61"/>
      <c r="B244" s="62"/>
      <c r="C244" s="61"/>
      <c r="D244" s="61"/>
      <c r="E244" s="61"/>
      <c r="F244" s="61"/>
      <c r="G244" s="61"/>
      <c r="H244" s="61"/>
      <c r="I244" s="61"/>
    </row>
    <row r="245" spans="1:9">
      <c r="A245" s="61"/>
      <c r="B245" s="62"/>
      <c r="C245" s="61"/>
      <c r="D245" s="61"/>
      <c r="E245" s="61"/>
      <c r="F245" s="61"/>
      <c r="G245" s="61"/>
      <c r="H245" s="61"/>
      <c r="I245" s="61"/>
    </row>
    <row r="246" spans="1:9">
      <c r="A246" s="61"/>
      <c r="B246" s="62"/>
      <c r="C246" s="61"/>
      <c r="D246" s="61"/>
      <c r="E246" s="61"/>
      <c r="F246" s="61"/>
      <c r="G246" s="61"/>
      <c r="H246" s="61"/>
      <c r="I246" s="61"/>
    </row>
    <row r="247" spans="1:9">
      <c r="A247" s="61"/>
      <c r="B247" s="62"/>
      <c r="C247" s="61"/>
      <c r="D247" s="61"/>
      <c r="E247" s="61"/>
      <c r="F247" s="61"/>
      <c r="G247" s="61"/>
      <c r="H247" s="61"/>
      <c r="I247" s="61"/>
    </row>
  </sheetData>
  <mergeCells count="43">
    <mergeCell ref="A176:I176"/>
    <mergeCell ref="A186:I186"/>
    <mergeCell ref="A175:I175"/>
    <mergeCell ref="A182:H182"/>
    <mergeCell ref="A120:I120"/>
    <mergeCell ref="A141:I141"/>
    <mergeCell ref="A154:H154"/>
    <mergeCell ref="A167:H167"/>
    <mergeCell ref="A174:H174"/>
    <mergeCell ref="A127:I127"/>
    <mergeCell ref="A128:I128"/>
    <mergeCell ref="A140:I140"/>
    <mergeCell ref="A75:H75"/>
    <mergeCell ref="A85:H85"/>
    <mergeCell ref="A105:H105"/>
    <mergeCell ref="A118:H118"/>
    <mergeCell ref="A91:I91"/>
    <mergeCell ref="A77:I77"/>
    <mergeCell ref="A92:I92"/>
    <mergeCell ref="A90:H90"/>
    <mergeCell ref="A38:I38"/>
    <mergeCell ref="A39:I39"/>
    <mergeCell ref="A14:I14"/>
    <mergeCell ref="A18:I18"/>
    <mergeCell ref="A70:I70"/>
    <mergeCell ref="A28:H28"/>
    <mergeCell ref="A47:H47"/>
    <mergeCell ref="A187:I187"/>
    <mergeCell ref="A199:I199"/>
    <mergeCell ref="A1:I1"/>
    <mergeCell ref="A2:I2"/>
    <mergeCell ref="A3:B3"/>
    <mergeCell ref="C9:I9"/>
    <mergeCell ref="C10:I10"/>
    <mergeCell ref="C4:G4"/>
    <mergeCell ref="A119:I119"/>
    <mergeCell ref="A76:I76"/>
    <mergeCell ref="A40:I40"/>
    <mergeCell ref="A36:H36"/>
    <mergeCell ref="A56:I56"/>
    <mergeCell ref="A63:I63"/>
    <mergeCell ref="A11:I12"/>
    <mergeCell ref="A19:I19"/>
  </mergeCells>
  <phoneticPr fontId="59" type="noConversion"/>
  <conditionalFormatting sqref="C4">
    <cfRule type="cellIs" dxfId="10" priority="1" stopIfTrue="1" operator="equal">
      <formula>0</formula>
    </cfRule>
  </conditionalFormatting>
  <conditionalFormatting sqref="C3:H3 A3:A4 B6 D6:H6 A6:A7 C6:C7 C8:H8 B8:B9 C9:C10 A9:A11">
    <cfRule type="cellIs" dxfId="9" priority="2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58" orientation="portrait" horizontalDpi="360" verticalDpi="360" r:id="rId1"/>
  <headerFooter>
    <oddFooter>Página &amp;P de &amp;N</oddFooter>
  </headerFooter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8:D31"/>
  <sheetViews>
    <sheetView view="pageBreakPreview" topLeftCell="A15" zoomScale="115" zoomScaleSheetLayoutView="115" workbookViewId="0">
      <selection activeCell="C14" sqref="C14"/>
    </sheetView>
  </sheetViews>
  <sheetFormatPr defaultRowHeight="13.2"/>
  <cols>
    <col min="2" max="2" width="22.109375" bestFit="1" customWidth="1"/>
    <col min="3" max="3" width="12.6640625" customWidth="1"/>
    <col min="4" max="4" width="22.33203125" customWidth="1"/>
  </cols>
  <sheetData>
    <row r="8" spans="1:4" ht="27" customHeight="1" thickBot="1"/>
    <row r="9" spans="1:4" ht="24" thickBot="1">
      <c r="A9" s="211" t="s">
        <v>94</v>
      </c>
      <c r="B9" s="212"/>
      <c r="C9" s="212"/>
      <c r="D9" s="213"/>
    </row>
    <row r="10" spans="1:4" ht="15" thickBot="1">
      <c r="A10" s="214"/>
      <c r="B10" s="215"/>
      <c r="C10" s="215"/>
      <c r="D10" s="216"/>
    </row>
    <row r="11" spans="1:4" ht="32.25" customHeight="1" thickBot="1">
      <c r="A11" s="8" t="s">
        <v>19</v>
      </c>
      <c r="B11" s="217" t="s">
        <v>226</v>
      </c>
      <c r="C11" s="218"/>
      <c r="D11" s="219"/>
    </row>
    <row r="12" spans="1:4" ht="15" thickBot="1">
      <c r="A12" s="9" t="s">
        <v>20</v>
      </c>
      <c r="B12" s="220" t="s">
        <v>289</v>
      </c>
      <c r="C12" s="221"/>
      <c r="D12" s="222"/>
    </row>
    <row r="13" spans="1:4" ht="15" thickBot="1">
      <c r="A13" s="10"/>
      <c r="B13" s="11"/>
      <c r="C13" s="11"/>
      <c r="D13" s="12"/>
    </row>
    <row r="14" spans="1:4" ht="14.4">
      <c r="A14" s="13" t="s">
        <v>21</v>
      </c>
      <c r="B14" s="14" t="s">
        <v>22</v>
      </c>
      <c r="C14" s="15">
        <v>0.04</v>
      </c>
      <c r="D14" s="16" t="s">
        <v>37</v>
      </c>
    </row>
    <row r="15" spans="1:4" ht="14.4">
      <c r="A15" s="13" t="s">
        <v>3</v>
      </c>
      <c r="B15" s="14" t="s">
        <v>23</v>
      </c>
      <c r="C15" s="15">
        <v>8.0000000000000002E-3</v>
      </c>
      <c r="D15" s="16" t="s">
        <v>38</v>
      </c>
    </row>
    <row r="16" spans="1:4" ht="14.4">
      <c r="A16" s="13" t="s">
        <v>4</v>
      </c>
      <c r="B16" s="14" t="s">
        <v>24</v>
      </c>
      <c r="C16" s="15">
        <v>1.2699999999999999E-2</v>
      </c>
      <c r="D16" s="16" t="s">
        <v>39</v>
      </c>
    </row>
    <row r="17" spans="1:4" ht="14.4">
      <c r="A17" s="13" t="s">
        <v>11</v>
      </c>
      <c r="B17" s="14" t="s">
        <v>25</v>
      </c>
      <c r="C17" s="15">
        <v>7.3999999999999996E-2</v>
      </c>
      <c r="D17" s="16" t="s">
        <v>40</v>
      </c>
    </row>
    <row r="18" spans="1:4" ht="14.4">
      <c r="A18" s="13" t="s">
        <v>12</v>
      </c>
      <c r="B18" s="14" t="s">
        <v>26</v>
      </c>
      <c r="C18" s="15">
        <v>1.23E-2</v>
      </c>
      <c r="D18" s="16" t="s">
        <v>41</v>
      </c>
    </row>
    <row r="19" spans="1:4" ht="14.4">
      <c r="A19" s="13" t="s">
        <v>15</v>
      </c>
      <c r="B19" s="14" t="s">
        <v>27</v>
      </c>
      <c r="C19" s="15">
        <f>SUM(C20:C23)</f>
        <v>8.6500000000000007E-2</v>
      </c>
      <c r="D19" s="16" t="s">
        <v>18</v>
      </c>
    </row>
    <row r="20" spans="1:4" ht="14.4">
      <c r="A20" s="17" t="s">
        <v>28</v>
      </c>
      <c r="B20" s="14" t="s">
        <v>29</v>
      </c>
      <c r="C20" s="15">
        <v>0.05</v>
      </c>
      <c r="D20" s="16" t="s">
        <v>42</v>
      </c>
    </row>
    <row r="21" spans="1:4" ht="14.4">
      <c r="A21" s="17" t="s">
        <v>30</v>
      </c>
      <c r="B21" s="14" t="s">
        <v>31</v>
      </c>
      <c r="C21" s="15">
        <v>0.03</v>
      </c>
      <c r="D21" s="16" t="s">
        <v>43</v>
      </c>
    </row>
    <row r="22" spans="1:4" ht="14.4">
      <c r="A22" s="17" t="s">
        <v>32</v>
      </c>
      <c r="B22" s="14" t="s">
        <v>33</v>
      </c>
      <c r="C22" s="15">
        <v>6.4999999999999997E-3</v>
      </c>
      <c r="D22" s="16" t="s">
        <v>44</v>
      </c>
    </row>
    <row r="23" spans="1:4" ht="15" thickBot="1">
      <c r="A23" s="17" t="s">
        <v>34</v>
      </c>
      <c r="B23" s="14" t="s">
        <v>35</v>
      </c>
      <c r="C23" s="15">
        <v>0</v>
      </c>
      <c r="D23" s="16" t="s">
        <v>45</v>
      </c>
    </row>
    <row r="24" spans="1:4" ht="15" thickBot="1">
      <c r="A24" s="10"/>
      <c r="B24" s="11"/>
      <c r="C24" s="11"/>
      <c r="D24" s="18"/>
    </row>
    <row r="25" spans="1:4" ht="15" thickBot="1">
      <c r="A25" s="10"/>
      <c r="B25" s="19" t="s">
        <v>36</v>
      </c>
      <c r="C25" s="20">
        <f>((1+C14+C15+C16)*(1+C17)*(1+C18)/(1-C19)-1)</f>
        <v>0.26240159730706081</v>
      </c>
      <c r="D25" s="18"/>
    </row>
    <row r="26" spans="1:4" ht="14.4">
      <c r="A26" s="21"/>
      <c r="B26" s="22"/>
      <c r="C26" s="22"/>
      <c r="D26" s="23"/>
    </row>
    <row r="27" spans="1:4" ht="13.8">
      <c r="A27" s="24" t="s">
        <v>46</v>
      </c>
      <c r="B27" s="25"/>
      <c r="C27" s="25"/>
      <c r="D27" s="26"/>
    </row>
    <row r="28" spans="1:4" ht="13.8">
      <c r="A28" s="24"/>
      <c r="B28" s="25"/>
      <c r="C28" s="25"/>
      <c r="D28" s="26"/>
    </row>
    <row r="29" spans="1:4" ht="12.75" customHeight="1">
      <c r="A29" s="223" t="s">
        <v>111</v>
      </c>
      <c r="B29" s="224"/>
      <c r="C29" s="224"/>
      <c r="D29" s="225"/>
    </row>
    <row r="30" spans="1:4" ht="12.75" customHeight="1">
      <c r="A30" s="223"/>
      <c r="B30" s="224"/>
      <c r="C30" s="224"/>
      <c r="D30" s="225"/>
    </row>
    <row r="31" spans="1:4" ht="54" customHeight="1" thickBot="1">
      <c r="A31" s="226"/>
      <c r="B31" s="227"/>
      <c r="C31" s="227"/>
      <c r="D31" s="228"/>
    </row>
  </sheetData>
  <mergeCells count="5">
    <mergeCell ref="A9:D9"/>
    <mergeCell ref="A10:D10"/>
    <mergeCell ref="B11:D11"/>
    <mergeCell ref="B12:D12"/>
    <mergeCell ref="A29:D3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360" verticalDpi="360" r:id="rId1"/>
  <headerFooter>
    <oddFooter>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topLeftCell="A5" zoomScale="85" zoomScaleSheetLayoutView="85" workbookViewId="0">
      <selection activeCell="A12" sqref="A12:H13"/>
    </sheetView>
  </sheetViews>
  <sheetFormatPr defaultRowHeight="13.2"/>
  <cols>
    <col min="1" max="1" width="9.109375" style="102"/>
    <col min="2" max="2" width="11.109375" customWidth="1"/>
    <col min="3" max="3" width="34.5546875" customWidth="1"/>
    <col min="4" max="4" width="32.44140625" bestFit="1" customWidth="1"/>
    <col min="5" max="5" width="9.6640625" customWidth="1"/>
    <col min="6" max="6" width="10.44140625" bestFit="1" customWidth="1"/>
    <col min="7" max="7" width="11.44140625" bestFit="1" customWidth="1"/>
    <col min="8" max="8" width="13.6640625" bestFit="1" customWidth="1"/>
    <col min="10" max="10" width="9.88671875" customWidth="1"/>
    <col min="11" max="11" width="21.44140625" bestFit="1" customWidth="1"/>
    <col min="12" max="12" width="7" bestFit="1" customWidth="1"/>
    <col min="13" max="13" width="8.6640625" bestFit="1" customWidth="1"/>
    <col min="14" max="14" width="8" bestFit="1" customWidth="1"/>
    <col min="15" max="15" width="10.44140625" bestFit="1" customWidth="1"/>
  </cols>
  <sheetData>
    <row r="1" spans="1:15">
      <c r="A1" s="72"/>
      <c r="B1" s="73"/>
      <c r="C1" s="73"/>
      <c r="D1" s="73"/>
      <c r="E1" s="73"/>
      <c r="F1" s="73"/>
      <c r="G1" s="74"/>
    </row>
    <row r="2" spans="1:15" ht="18.75" customHeight="1">
      <c r="A2" s="231" t="s">
        <v>55</v>
      </c>
      <c r="B2" s="167"/>
      <c r="C2" s="167"/>
      <c r="D2" s="167"/>
      <c r="E2" s="167"/>
      <c r="F2" s="167"/>
      <c r="G2" s="232"/>
      <c r="H2" s="64"/>
      <c r="I2" s="64"/>
      <c r="J2" s="64"/>
      <c r="K2" s="64"/>
      <c r="L2" s="64"/>
      <c r="M2" s="64"/>
      <c r="N2" s="64"/>
      <c r="O2" s="64"/>
    </row>
    <row r="3" spans="1:15" ht="19.5" customHeight="1">
      <c r="A3" s="231" t="s">
        <v>290</v>
      </c>
      <c r="B3" s="167"/>
      <c r="C3" s="167"/>
      <c r="D3" s="167"/>
      <c r="E3" s="167"/>
      <c r="F3" s="167"/>
      <c r="G3" s="232"/>
      <c r="H3" s="64"/>
      <c r="I3" s="64"/>
      <c r="J3" s="64"/>
      <c r="K3" s="75">
        <f>'BDI Geral'!C25</f>
        <v>0.26240159730706081</v>
      </c>
      <c r="L3" s="64"/>
      <c r="M3" s="64"/>
      <c r="N3" s="64"/>
      <c r="O3" s="64"/>
    </row>
    <row r="4" spans="1:15" ht="15" customHeight="1">
      <c r="A4" s="199" t="s">
        <v>56</v>
      </c>
      <c r="B4" s="169"/>
      <c r="C4" s="33"/>
      <c r="D4" s="34" t="s">
        <v>57</v>
      </c>
      <c r="F4" s="33"/>
      <c r="G4" s="76"/>
      <c r="H4" s="33"/>
      <c r="I4" s="33"/>
      <c r="J4" s="233"/>
      <c r="K4" s="233"/>
      <c r="L4" s="233"/>
      <c r="M4" s="233"/>
      <c r="N4" s="233"/>
      <c r="O4" s="233"/>
    </row>
    <row r="5" spans="1:15" ht="45" customHeight="1">
      <c r="A5" s="77"/>
      <c r="B5" s="37"/>
      <c r="C5" s="37"/>
      <c r="D5" s="170" t="s">
        <v>226</v>
      </c>
      <c r="E5" s="171"/>
      <c r="F5" s="234"/>
      <c r="G5" s="68"/>
      <c r="H5" s="68"/>
      <c r="I5" s="78"/>
      <c r="J5" s="78"/>
      <c r="K5" s="233"/>
      <c r="L5" s="233"/>
      <c r="M5" s="233"/>
      <c r="N5" s="233"/>
      <c r="O5" s="233"/>
    </row>
    <row r="6" spans="1:15" ht="15" customHeight="1">
      <c r="A6" s="79"/>
      <c r="C6" s="42"/>
      <c r="D6" s="43"/>
      <c r="F6" s="43"/>
      <c r="G6" s="71"/>
      <c r="K6" s="235"/>
      <c r="L6" s="235"/>
      <c r="M6" s="235"/>
      <c r="N6" s="235"/>
      <c r="O6" s="235"/>
    </row>
    <row r="7" spans="1:15" ht="15" customHeight="1">
      <c r="A7" s="46" t="s">
        <v>58</v>
      </c>
      <c r="B7" s="33"/>
      <c r="C7" s="33"/>
      <c r="D7" s="46" t="s">
        <v>59</v>
      </c>
      <c r="F7" s="33"/>
      <c r="G7" s="76"/>
      <c r="H7" s="33"/>
      <c r="I7" s="33"/>
      <c r="J7" s="33"/>
      <c r="K7" s="235"/>
      <c r="L7" s="235"/>
      <c r="M7" s="235"/>
      <c r="N7" s="235"/>
      <c r="O7" s="235"/>
    </row>
    <row r="8" spans="1:15" ht="15" customHeight="1">
      <c r="A8" s="36"/>
      <c r="B8" s="47"/>
      <c r="C8" s="47"/>
      <c r="D8" s="38" t="s">
        <v>55</v>
      </c>
      <c r="E8" s="39"/>
      <c r="F8" s="39"/>
      <c r="G8" s="68"/>
      <c r="H8" s="68"/>
      <c r="I8" s="78"/>
      <c r="J8" s="78"/>
      <c r="K8" s="233"/>
      <c r="L8" s="233"/>
      <c r="M8" s="233"/>
      <c r="N8" s="233"/>
      <c r="O8" s="233"/>
    </row>
    <row r="9" spans="1:15" ht="15" customHeight="1">
      <c r="A9" s="79"/>
      <c r="G9" s="80"/>
    </row>
    <row r="10" spans="1:15" ht="15" customHeight="1">
      <c r="A10" s="46" t="s">
        <v>82</v>
      </c>
      <c r="B10" s="33"/>
      <c r="C10" s="46" t="s">
        <v>60</v>
      </c>
      <c r="D10" s="48" t="s">
        <v>36</v>
      </c>
      <c r="E10" s="179" t="s">
        <v>62</v>
      </c>
      <c r="F10" s="233"/>
      <c r="G10" s="233"/>
      <c r="H10" s="233"/>
      <c r="L10" s="169"/>
      <c r="M10" s="169"/>
      <c r="N10" s="169"/>
      <c r="O10" s="169"/>
    </row>
    <row r="11" spans="1:15" ht="37.5" customHeight="1">
      <c r="A11" s="50"/>
      <c r="B11" s="39"/>
      <c r="C11" s="129" t="s">
        <v>291</v>
      </c>
      <c r="D11" s="69">
        <f>'BDI Geral'!C25</f>
        <v>0.26240159730706081</v>
      </c>
      <c r="E11" s="236" t="s">
        <v>292</v>
      </c>
      <c r="F11" s="237"/>
      <c r="G11" s="237"/>
      <c r="H11" s="237"/>
      <c r="I11" s="78"/>
      <c r="J11" s="78"/>
      <c r="K11" s="78"/>
      <c r="L11" s="81"/>
      <c r="M11" s="82"/>
      <c r="N11" s="82"/>
      <c r="O11" s="82"/>
    </row>
    <row r="12" spans="1:15" ht="15" customHeight="1">
      <c r="A12" s="229" t="s">
        <v>79</v>
      </c>
      <c r="B12" s="230"/>
      <c r="C12" s="230"/>
      <c r="D12" s="230"/>
      <c r="E12" s="230"/>
      <c r="F12" s="230"/>
      <c r="G12" s="230"/>
      <c r="H12" s="230"/>
      <c r="I12" s="83"/>
      <c r="J12" s="83"/>
      <c r="K12" s="83"/>
      <c r="L12" s="83"/>
      <c r="M12" s="83"/>
      <c r="N12" s="83"/>
      <c r="O12" s="83"/>
    </row>
    <row r="13" spans="1:15" ht="15" customHeight="1">
      <c r="A13" s="229"/>
      <c r="B13" s="230"/>
      <c r="C13" s="230"/>
      <c r="D13" s="230"/>
      <c r="E13" s="230"/>
      <c r="F13" s="230"/>
      <c r="G13" s="230"/>
      <c r="H13" s="230"/>
      <c r="I13" s="83"/>
      <c r="J13" s="83"/>
      <c r="K13" s="83"/>
      <c r="L13" s="83"/>
      <c r="M13" s="83"/>
      <c r="N13" s="83"/>
      <c r="O13" s="83"/>
    </row>
    <row r="14" spans="1:15" ht="15" customHeight="1">
      <c r="A14" s="243" t="s">
        <v>54</v>
      </c>
      <c r="B14" s="244"/>
      <c r="C14" s="244"/>
      <c r="D14" s="244"/>
      <c r="E14" s="244"/>
      <c r="F14" s="244"/>
      <c r="G14" s="244"/>
      <c r="H14" s="244"/>
    </row>
    <row r="15" spans="1:15" ht="38.25" customHeight="1">
      <c r="A15" s="245" t="s">
        <v>193</v>
      </c>
      <c r="B15" s="246"/>
      <c r="C15" s="246"/>
      <c r="D15" s="246"/>
      <c r="E15" s="246"/>
      <c r="F15" s="246"/>
      <c r="G15" s="246"/>
      <c r="H15" s="247"/>
    </row>
    <row r="16" spans="1:15" ht="31.5" customHeight="1">
      <c r="A16" s="248" t="s">
        <v>47</v>
      </c>
      <c r="B16" s="248"/>
      <c r="C16" s="248"/>
      <c r="D16" s="248"/>
      <c r="E16" s="84" t="s">
        <v>48</v>
      </c>
      <c r="F16" s="84" t="s">
        <v>49</v>
      </c>
      <c r="G16" s="84" t="s">
        <v>50</v>
      </c>
      <c r="H16" s="84" t="s">
        <v>51</v>
      </c>
    </row>
    <row r="17" spans="1:8">
      <c r="A17" s="249" t="s">
        <v>52</v>
      </c>
      <c r="B17" s="249"/>
      <c r="C17" s="249"/>
      <c r="D17" s="249"/>
      <c r="E17" s="85"/>
      <c r="F17" s="85"/>
      <c r="G17" s="85"/>
      <c r="H17" s="86"/>
    </row>
    <row r="18" spans="1:8">
      <c r="A18" s="87">
        <v>88315</v>
      </c>
      <c r="B18" s="88" t="s">
        <v>13</v>
      </c>
      <c r="C18" s="241" t="s">
        <v>105</v>
      </c>
      <c r="D18" s="242"/>
      <c r="E18" s="89" t="s">
        <v>84</v>
      </c>
      <c r="F18" s="90">
        <v>3</v>
      </c>
      <c r="G18" s="91">
        <v>26.31</v>
      </c>
      <c r="H18" s="91">
        <f>TRUNC(F18*G18,2)</f>
        <v>78.930000000000007</v>
      </c>
    </row>
    <row r="19" spans="1:8">
      <c r="A19" s="92"/>
      <c r="B19" s="93"/>
      <c r="C19" s="252"/>
      <c r="D19" s="253"/>
      <c r="E19" s="94"/>
      <c r="F19" s="94"/>
      <c r="G19" s="95" t="s">
        <v>53</v>
      </c>
      <c r="H19" s="27">
        <f>SUM(H18:H18)</f>
        <v>78.930000000000007</v>
      </c>
    </row>
    <row r="20" spans="1:8">
      <c r="A20" s="254" t="s">
        <v>85</v>
      </c>
      <c r="B20" s="249"/>
      <c r="C20" s="249"/>
      <c r="D20" s="249"/>
      <c r="E20" s="85"/>
      <c r="F20" s="85"/>
      <c r="G20" s="85"/>
      <c r="H20" s="86"/>
    </row>
    <row r="21" spans="1:8" ht="27" customHeight="1">
      <c r="A21" s="87">
        <v>7696</v>
      </c>
      <c r="B21" s="88" t="s">
        <v>13</v>
      </c>
      <c r="C21" s="241" t="s">
        <v>195</v>
      </c>
      <c r="D21" s="242"/>
      <c r="E21" s="89" t="s">
        <v>1</v>
      </c>
      <c r="F21" s="90">
        <f>1.8+1.8+1.5+1.5+1.5</f>
        <v>8.1</v>
      </c>
      <c r="G21" s="96">
        <v>66.650000000000006</v>
      </c>
      <c r="H21" s="91">
        <f t="shared" ref="H21:H25" si="0">TRUNC(F21*G21,2)</f>
        <v>539.86</v>
      </c>
    </row>
    <row r="22" spans="1:8" ht="46.5" customHeight="1">
      <c r="A22" s="87">
        <v>100722</v>
      </c>
      <c r="B22" s="88" t="s">
        <v>13</v>
      </c>
      <c r="C22" s="241" t="s">
        <v>106</v>
      </c>
      <c r="D22" s="242"/>
      <c r="E22" s="89" t="s">
        <v>2</v>
      </c>
      <c r="F22" s="90">
        <v>1.1599999999999999</v>
      </c>
      <c r="G22" s="96">
        <v>23.8</v>
      </c>
      <c r="H22" s="91">
        <f t="shared" si="0"/>
        <v>27.6</v>
      </c>
    </row>
    <row r="23" spans="1:8" ht="39" customHeight="1">
      <c r="A23" s="87">
        <v>100745</v>
      </c>
      <c r="B23" s="88" t="s">
        <v>13</v>
      </c>
      <c r="C23" s="241" t="s">
        <v>107</v>
      </c>
      <c r="D23" s="242"/>
      <c r="E23" s="89" t="s">
        <v>2</v>
      </c>
      <c r="F23" s="90">
        <v>1.1599999999999999</v>
      </c>
      <c r="G23" s="96">
        <v>24.67</v>
      </c>
      <c r="H23" s="91">
        <f t="shared" si="0"/>
        <v>28.61</v>
      </c>
    </row>
    <row r="24" spans="1:8" ht="39" customHeight="1">
      <c r="A24" s="87">
        <v>11484</v>
      </c>
      <c r="B24" s="88" t="s">
        <v>13</v>
      </c>
      <c r="C24" s="241" t="s">
        <v>108</v>
      </c>
      <c r="D24" s="242"/>
      <c r="E24" s="89" t="s">
        <v>104</v>
      </c>
      <c r="F24" s="90">
        <v>1</v>
      </c>
      <c r="G24" s="96">
        <v>63.26</v>
      </c>
      <c r="H24" s="91">
        <f t="shared" ref="H24" si="1">TRUNC(F24*G24,2)</f>
        <v>63.26</v>
      </c>
    </row>
    <row r="25" spans="1:8" ht="27" customHeight="1">
      <c r="A25" s="87">
        <v>7162</v>
      </c>
      <c r="B25" s="88" t="s">
        <v>13</v>
      </c>
      <c r="C25" s="241" t="s">
        <v>194</v>
      </c>
      <c r="D25" s="242"/>
      <c r="E25" s="89" t="s">
        <v>2</v>
      </c>
      <c r="F25" s="90">
        <f>1.8*1.5</f>
        <v>2.7</v>
      </c>
      <c r="G25" s="96">
        <v>79.62</v>
      </c>
      <c r="H25" s="96">
        <f t="shared" si="0"/>
        <v>214.97</v>
      </c>
    </row>
    <row r="26" spans="1:8">
      <c r="A26" s="97"/>
      <c r="B26" s="98"/>
      <c r="C26" s="250"/>
      <c r="D26" s="251"/>
      <c r="E26" s="99"/>
      <c r="F26" s="99"/>
      <c r="G26" s="100" t="s">
        <v>53</v>
      </c>
      <c r="H26" s="27">
        <f>SUM(H21:H25)</f>
        <v>874.30000000000007</v>
      </c>
    </row>
    <row r="27" spans="1:8" ht="13.2" customHeight="1">
      <c r="A27" s="238" t="s">
        <v>225</v>
      </c>
      <c r="B27" s="239"/>
      <c r="C27" s="239"/>
      <c r="D27" s="239"/>
      <c r="E27" s="239"/>
      <c r="F27" s="239"/>
      <c r="G27" s="240"/>
      <c r="H27" s="101">
        <f>H26+H19</f>
        <v>953.23</v>
      </c>
    </row>
  </sheetData>
  <mergeCells count="26">
    <mergeCell ref="A27:G27"/>
    <mergeCell ref="C24:D24"/>
    <mergeCell ref="A14:H14"/>
    <mergeCell ref="A15:H15"/>
    <mergeCell ref="A16:D16"/>
    <mergeCell ref="A17:D17"/>
    <mergeCell ref="C26:D26"/>
    <mergeCell ref="C19:D19"/>
    <mergeCell ref="C21:D21"/>
    <mergeCell ref="C18:D18"/>
    <mergeCell ref="A20:D20"/>
    <mergeCell ref="C22:D22"/>
    <mergeCell ref="C23:D23"/>
    <mergeCell ref="C25:D25"/>
    <mergeCell ref="A12:H13"/>
    <mergeCell ref="A2:G2"/>
    <mergeCell ref="A3:G3"/>
    <mergeCell ref="A4:B4"/>
    <mergeCell ref="J4:O4"/>
    <mergeCell ref="K5:O5"/>
    <mergeCell ref="D5:F5"/>
    <mergeCell ref="K6:O7"/>
    <mergeCell ref="K8:O8"/>
    <mergeCell ref="L10:O10"/>
    <mergeCell ref="E10:H10"/>
    <mergeCell ref="E11:H11"/>
  </mergeCells>
  <conditionalFormatting sqref="A8">
    <cfRule type="cellIs" dxfId="8" priority="8" stopIfTrue="1" operator="equal">
      <formula>0</formula>
    </cfRule>
  </conditionalFormatting>
  <conditionalFormatting sqref="C4:D4 F4:J4 A4:A5 A7:D7 F7:J7 B10:D10 A10:A11">
    <cfRule type="cellIs" dxfId="7" priority="9" stopIfTrue="1" operator="equal">
      <formula>0</formula>
    </cfRule>
  </conditionalFormatting>
  <conditionalFormatting sqref="C11:D11">
    <cfRule type="cellIs" dxfId="6" priority="1" stopIfTrue="1" operator="equal">
      <formula>0</formula>
    </cfRule>
  </conditionalFormatting>
  <conditionalFormatting sqref="D5">
    <cfRule type="cellIs" dxfId="5" priority="5" stopIfTrue="1" operator="equal">
      <formula>0</formula>
    </cfRule>
  </conditionalFormatting>
  <conditionalFormatting sqref="D8">
    <cfRule type="cellIs" dxfId="4" priority="4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1" fitToHeight="0" orientation="portrait" horizontalDpi="360" verticalDpi="360" r:id="rId1"/>
  <headerFooter>
    <oddFooter>Página &amp;P de &amp;N</oddFooter>
  </headerFooter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70" zoomScaleNormal="80" zoomScaleSheetLayoutView="70" workbookViewId="0">
      <selection activeCell="C23" sqref="C23"/>
    </sheetView>
  </sheetViews>
  <sheetFormatPr defaultRowHeight="13.2"/>
  <cols>
    <col min="1" max="1" width="32.109375" bestFit="1" customWidth="1"/>
    <col min="2" max="2" width="60.88671875" customWidth="1"/>
    <col min="3" max="3" width="16.21875" bestFit="1" customWidth="1"/>
    <col min="4" max="4" width="15" customWidth="1"/>
    <col min="5" max="5" width="22.88671875" customWidth="1"/>
    <col min="6" max="6" width="22.33203125" customWidth="1"/>
    <col min="7" max="7" width="22.88671875" customWidth="1"/>
    <col min="8" max="9" width="22.33203125" customWidth="1"/>
    <col min="10" max="10" width="22.88671875" customWidth="1"/>
    <col min="11" max="11" width="22.33203125" customWidth="1"/>
  </cols>
  <sheetData>
    <row r="1" spans="1:11" ht="15" customHeight="1">
      <c r="A1" s="166" t="s">
        <v>55</v>
      </c>
      <c r="B1" s="167"/>
      <c r="C1" s="167"/>
      <c r="D1" s="167"/>
      <c r="E1" s="167"/>
      <c r="F1" s="167"/>
      <c r="G1" s="160"/>
      <c r="H1" s="160"/>
      <c r="J1" s="160"/>
      <c r="K1" s="160"/>
    </row>
    <row r="2" spans="1:11" ht="15" customHeight="1">
      <c r="A2" s="166" t="s">
        <v>290</v>
      </c>
      <c r="B2" s="167"/>
      <c r="C2" s="167"/>
      <c r="D2" s="167"/>
      <c r="E2" s="167"/>
      <c r="F2" s="167"/>
      <c r="G2" s="160"/>
      <c r="H2" s="160"/>
      <c r="J2" s="160"/>
      <c r="K2" s="160"/>
    </row>
    <row r="3" spans="1:11" ht="15" customHeight="1">
      <c r="A3" s="103" t="s">
        <v>56</v>
      </c>
      <c r="C3" s="34"/>
      <c r="D3" s="33"/>
    </row>
    <row r="4" spans="1:11">
      <c r="A4" s="258"/>
      <c r="B4" s="259"/>
      <c r="C4" s="38"/>
      <c r="D4" s="39"/>
      <c r="E4" s="39"/>
      <c r="F4" s="39"/>
      <c r="G4" s="39"/>
      <c r="H4" s="39"/>
      <c r="I4" s="39"/>
      <c r="J4" s="39"/>
      <c r="K4" s="39"/>
    </row>
    <row r="5" spans="1:11" ht="6" customHeight="1">
      <c r="A5" s="41"/>
      <c r="B5" s="43"/>
      <c r="C5" s="43"/>
      <c r="D5" s="43"/>
    </row>
    <row r="6" spans="1:11">
      <c r="A6" s="45" t="s">
        <v>58</v>
      </c>
      <c r="B6" s="46" t="s">
        <v>59</v>
      </c>
      <c r="C6" s="34" t="s">
        <v>57</v>
      </c>
      <c r="D6" s="33"/>
    </row>
    <row r="7" spans="1:11" ht="34.5" customHeight="1">
      <c r="A7" s="104"/>
      <c r="B7" s="38" t="s">
        <v>55</v>
      </c>
      <c r="C7" s="170" t="s">
        <v>226</v>
      </c>
      <c r="D7" s="171"/>
      <c r="E7" s="171"/>
      <c r="F7" s="39"/>
      <c r="G7" s="39"/>
      <c r="H7" s="39"/>
      <c r="I7" s="39"/>
      <c r="J7" s="39"/>
      <c r="K7" s="39"/>
    </row>
    <row r="8" spans="1:11">
      <c r="A8" s="41"/>
      <c r="B8" s="33"/>
      <c r="C8" s="33"/>
      <c r="D8" s="33"/>
    </row>
    <row r="9" spans="1:11">
      <c r="A9" s="45" t="s">
        <v>82</v>
      </c>
      <c r="B9" s="48" t="s">
        <v>60</v>
      </c>
      <c r="C9" s="78"/>
      <c r="D9" s="78"/>
    </row>
    <row r="10" spans="1:11">
      <c r="A10" s="52"/>
      <c r="B10" s="129" t="s">
        <v>291</v>
      </c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" customHeight="1">
      <c r="A11" s="262" t="s">
        <v>80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</row>
    <row r="12" spans="1:11" ht="9.75" customHeight="1">
      <c r="A12" s="262"/>
      <c r="B12" s="262"/>
      <c r="C12" s="262"/>
      <c r="D12" s="262"/>
      <c r="E12" s="262"/>
      <c r="F12" s="262"/>
      <c r="G12" s="262"/>
      <c r="H12" s="262"/>
      <c r="I12" s="262"/>
      <c r="J12" s="262"/>
      <c r="K12" s="262"/>
    </row>
    <row r="13" spans="1:11" ht="5.25" customHeight="1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</row>
    <row r="14" spans="1:11" ht="18.75" customHeight="1" thickBot="1">
      <c r="A14" s="105"/>
      <c r="B14" s="105"/>
      <c r="C14" s="105"/>
      <c r="D14" s="105"/>
      <c r="E14" s="263" t="s">
        <v>81</v>
      </c>
      <c r="F14" s="264"/>
      <c r="G14" s="264"/>
      <c r="H14" s="264"/>
      <c r="I14" s="264"/>
      <c r="J14" s="264"/>
      <c r="K14" s="264"/>
    </row>
    <row r="15" spans="1:11" s="109" customFormat="1">
      <c r="A15" s="106" t="s">
        <v>0</v>
      </c>
      <c r="B15" s="107" t="s">
        <v>86</v>
      </c>
      <c r="C15" s="108" t="s">
        <v>87</v>
      </c>
      <c r="D15" s="107" t="s">
        <v>88</v>
      </c>
      <c r="E15" s="107">
        <v>1</v>
      </c>
      <c r="F15" s="107">
        <v>2</v>
      </c>
      <c r="G15" s="107">
        <v>3</v>
      </c>
      <c r="H15" s="107">
        <v>4</v>
      </c>
      <c r="I15" s="107">
        <v>5</v>
      </c>
      <c r="J15" s="107">
        <v>6</v>
      </c>
      <c r="K15" s="107">
        <v>7</v>
      </c>
    </row>
    <row r="16" spans="1:11" s="109" customFormat="1">
      <c r="A16" s="110"/>
      <c r="B16" s="111"/>
      <c r="C16" s="112"/>
      <c r="D16" s="113"/>
      <c r="E16" s="113"/>
      <c r="F16" s="113"/>
      <c r="G16" s="113"/>
      <c r="H16" s="113"/>
      <c r="I16" s="113"/>
      <c r="J16" s="113"/>
      <c r="K16" s="113"/>
    </row>
    <row r="17" spans="1:11" s="109" customFormat="1">
      <c r="A17" s="114">
        <v>1</v>
      </c>
      <c r="B17" s="115" t="s">
        <v>112</v>
      </c>
      <c r="C17" s="116">
        <f>'Planilha Orçamentária'!I18</f>
        <v>15287.3</v>
      </c>
      <c r="D17" s="117">
        <f>C17/$C$40</f>
        <v>1.0814667556554783E-2</v>
      </c>
      <c r="E17" s="118">
        <v>1</v>
      </c>
      <c r="F17" s="118"/>
      <c r="G17" s="118"/>
      <c r="H17" s="118"/>
      <c r="I17" s="118"/>
      <c r="J17" s="118"/>
      <c r="K17" s="118"/>
    </row>
    <row r="18" spans="1:11" s="109" customFormat="1">
      <c r="A18" s="114"/>
      <c r="B18" s="113"/>
      <c r="C18" s="116"/>
      <c r="D18" s="117"/>
      <c r="E18" s="119">
        <f>$C$17*E17</f>
        <v>15287.3</v>
      </c>
      <c r="F18" s="119">
        <f t="shared" ref="F18:H18" si="0">$C$17*F17</f>
        <v>0</v>
      </c>
      <c r="G18" s="119">
        <f t="shared" si="0"/>
        <v>0</v>
      </c>
      <c r="H18" s="119">
        <f t="shared" si="0"/>
        <v>0</v>
      </c>
      <c r="I18" s="119">
        <f t="shared" ref="I18:K18" si="1">$C$17*I17</f>
        <v>0</v>
      </c>
      <c r="J18" s="119">
        <f t="shared" si="1"/>
        <v>0</v>
      </c>
      <c r="K18" s="119">
        <f t="shared" si="1"/>
        <v>0</v>
      </c>
    </row>
    <row r="19" spans="1:11" s="109" customFormat="1">
      <c r="A19" s="114">
        <v>2</v>
      </c>
      <c r="B19" s="115" t="s">
        <v>224</v>
      </c>
      <c r="C19" s="116">
        <f>'Planilha Orçamentária'!I26</f>
        <v>21492.54</v>
      </c>
      <c r="D19" s="117">
        <f>C19/$C$40</f>
        <v>1.5204429496768949E-2</v>
      </c>
      <c r="E19" s="118">
        <v>0.7</v>
      </c>
      <c r="F19" s="118">
        <v>0.3</v>
      </c>
      <c r="G19" s="118"/>
      <c r="H19" s="118"/>
      <c r="I19" s="118"/>
      <c r="J19" s="118"/>
      <c r="K19" s="118"/>
    </row>
    <row r="20" spans="1:11" s="109" customFormat="1">
      <c r="A20" s="114"/>
      <c r="B20" s="113"/>
      <c r="C20" s="116"/>
      <c r="D20" s="117"/>
      <c r="E20" s="119">
        <f>$C$19*E19</f>
        <v>15044.778</v>
      </c>
      <c r="F20" s="119">
        <f t="shared" ref="F20:H20" si="2">$C$19*F19</f>
        <v>6447.7619999999997</v>
      </c>
      <c r="G20" s="119">
        <f t="shared" si="2"/>
        <v>0</v>
      </c>
      <c r="H20" s="119">
        <f t="shared" si="2"/>
        <v>0</v>
      </c>
      <c r="I20" s="119">
        <f t="shared" ref="I20:K20" si="3">$C$19*I19</f>
        <v>0</v>
      </c>
      <c r="J20" s="119">
        <f t="shared" si="3"/>
        <v>0</v>
      </c>
      <c r="K20" s="119">
        <f t="shared" si="3"/>
        <v>0</v>
      </c>
    </row>
    <row r="21" spans="1:11" s="109" customFormat="1">
      <c r="A21" s="114">
        <v>3</v>
      </c>
      <c r="B21" s="113" t="s">
        <v>223</v>
      </c>
      <c r="C21" s="116">
        <f>'Planilha Orçamentária'!I55</f>
        <v>259524.49</v>
      </c>
      <c r="D21" s="117">
        <f>C21/$C$40</f>
        <v>0.18359495019620381</v>
      </c>
      <c r="E21" s="118">
        <v>0.3</v>
      </c>
      <c r="F21" s="118">
        <v>0.3</v>
      </c>
      <c r="G21" s="118">
        <v>0.4</v>
      </c>
      <c r="H21" s="118"/>
      <c r="I21" s="118"/>
      <c r="J21" s="118"/>
      <c r="K21" s="118"/>
    </row>
    <row r="22" spans="1:11" s="109" customFormat="1">
      <c r="A22" s="114"/>
      <c r="B22" s="113"/>
      <c r="C22" s="116"/>
      <c r="D22" s="117"/>
      <c r="E22" s="119">
        <f>$C21*E21</f>
        <v>77857.346999999994</v>
      </c>
      <c r="F22" s="119">
        <f t="shared" ref="F22:H22" si="4">$C21*F21</f>
        <v>77857.346999999994</v>
      </c>
      <c r="G22" s="119">
        <f t="shared" si="4"/>
        <v>103809.796</v>
      </c>
      <c r="H22" s="119">
        <f t="shared" si="4"/>
        <v>0</v>
      </c>
      <c r="I22" s="119">
        <f t="shared" ref="I22:K22" si="5">$C21*I21</f>
        <v>0</v>
      </c>
      <c r="J22" s="119">
        <f t="shared" si="5"/>
        <v>0</v>
      </c>
      <c r="K22" s="119">
        <f t="shared" si="5"/>
        <v>0</v>
      </c>
    </row>
    <row r="23" spans="1:11" s="109" customFormat="1">
      <c r="A23" s="114">
        <v>4</v>
      </c>
      <c r="B23" s="113" t="s">
        <v>222</v>
      </c>
      <c r="C23" s="116">
        <f>'Planilha Orçamentária'!I61</f>
        <v>131980.15</v>
      </c>
      <c r="D23" s="117">
        <f>C23/$C$40</f>
        <v>9.3366483703089087E-2</v>
      </c>
      <c r="E23" s="118"/>
      <c r="F23" s="118">
        <v>0.5</v>
      </c>
      <c r="G23" s="118">
        <v>0.5</v>
      </c>
      <c r="H23" s="118"/>
      <c r="I23" s="118"/>
      <c r="J23" s="118"/>
      <c r="K23" s="118"/>
    </row>
    <row r="24" spans="1:11" s="109" customFormat="1">
      <c r="A24" s="114"/>
      <c r="B24" s="113"/>
      <c r="C24" s="116"/>
      <c r="D24" s="117"/>
      <c r="E24" s="119">
        <f>$C23*E23</f>
        <v>0</v>
      </c>
      <c r="F24" s="119">
        <f t="shared" ref="F24:H24" si="6">$C23*F23</f>
        <v>65990.074999999997</v>
      </c>
      <c r="G24" s="119">
        <f t="shared" si="6"/>
        <v>65990.074999999997</v>
      </c>
      <c r="H24" s="119">
        <f t="shared" si="6"/>
        <v>0</v>
      </c>
      <c r="I24" s="119">
        <f t="shared" ref="I24:K24" si="7">$C23*I23</f>
        <v>0</v>
      </c>
      <c r="J24" s="119">
        <f t="shared" si="7"/>
        <v>0</v>
      </c>
      <c r="K24" s="119">
        <f t="shared" si="7"/>
        <v>0</v>
      </c>
    </row>
    <row r="25" spans="1:11" s="109" customFormat="1">
      <c r="A25" s="114">
        <v>5</v>
      </c>
      <c r="B25" s="115" t="s">
        <v>221</v>
      </c>
      <c r="C25" s="116">
        <f>'Planilha Orçamentária'!I66</f>
        <v>18964.77</v>
      </c>
      <c r="D25" s="117">
        <f>C25/$C$40</f>
        <v>1.3416213643777743E-2</v>
      </c>
      <c r="E25" s="118"/>
      <c r="F25" s="118">
        <v>0.2</v>
      </c>
      <c r="G25" s="118">
        <v>0.3</v>
      </c>
      <c r="H25" s="118">
        <v>0.3</v>
      </c>
      <c r="I25" s="118">
        <v>0.2</v>
      </c>
      <c r="J25" s="118"/>
      <c r="K25" s="118"/>
    </row>
    <row r="26" spans="1:11" s="109" customFormat="1">
      <c r="A26" s="114"/>
      <c r="B26" s="113"/>
      <c r="C26" s="116"/>
      <c r="D26" s="117"/>
      <c r="E26" s="119">
        <f t="shared" ref="E26:G26" si="8">$C$25*E25</f>
        <v>0</v>
      </c>
      <c r="F26" s="119">
        <f t="shared" si="8"/>
        <v>3792.9540000000002</v>
      </c>
      <c r="G26" s="119">
        <f t="shared" si="8"/>
        <v>5689.4309999999996</v>
      </c>
      <c r="H26" s="119">
        <f>$C$25*H25</f>
        <v>5689.4309999999996</v>
      </c>
      <c r="I26" s="119">
        <f t="shared" ref="I26:J26" si="9">$C$25*I25</f>
        <v>3792.9540000000002</v>
      </c>
      <c r="J26" s="119">
        <f t="shared" si="9"/>
        <v>0</v>
      </c>
      <c r="K26" s="119">
        <f>$C$25*K25</f>
        <v>0</v>
      </c>
    </row>
    <row r="27" spans="1:11" s="109" customFormat="1">
      <c r="A27" s="114">
        <v>6</v>
      </c>
      <c r="B27" s="115" t="s">
        <v>220</v>
      </c>
      <c r="C27" s="116">
        <f>'Planilha Orçamentária'!I75</f>
        <v>167173.07999999999</v>
      </c>
      <c r="D27" s="117">
        <f>C27/$C$40</f>
        <v>0.11826295582642699</v>
      </c>
      <c r="E27" s="118"/>
      <c r="F27" s="118">
        <v>0.3</v>
      </c>
      <c r="G27" s="118">
        <v>0.2</v>
      </c>
      <c r="H27" s="118">
        <v>0.5</v>
      </c>
      <c r="I27" s="118"/>
      <c r="J27" s="118"/>
      <c r="K27" s="118"/>
    </row>
    <row r="28" spans="1:11" s="109" customFormat="1">
      <c r="A28" s="114"/>
      <c r="B28" s="113"/>
      <c r="C28" s="116"/>
      <c r="D28" s="117"/>
      <c r="E28" s="119">
        <f>$C$27*E27</f>
        <v>0</v>
      </c>
      <c r="F28" s="119">
        <f>$C$27*F27</f>
        <v>50151.923999999992</v>
      </c>
      <c r="G28" s="119">
        <f t="shared" ref="G28:H28" si="10">$C$27*G27</f>
        <v>33434.616000000002</v>
      </c>
      <c r="H28" s="119">
        <f t="shared" si="10"/>
        <v>83586.539999999994</v>
      </c>
      <c r="I28" s="119">
        <f>$C$27*I27</f>
        <v>0</v>
      </c>
      <c r="J28" s="119">
        <f t="shared" ref="J28:K28" si="11">$C$27*J27</f>
        <v>0</v>
      </c>
      <c r="K28" s="119">
        <f t="shared" si="11"/>
        <v>0</v>
      </c>
    </row>
    <row r="29" spans="1:11" s="109" customFormat="1">
      <c r="A29" s="114">
        <v>7</v>
      </c>
      <c r="B29" s="115" t="s">
        <v>288</v>
      </c>
      <c r="C29" s="116">
        <f>'Planilha Orçamentária'!I77</f>
        <v>712696.31999999995</v>
      </c>
      <c r="D29" s="117">
        <f>C29/$C$40</f>
        <v>0.50418149506976284</v>
      </c>
      <c r="E29" s="118"/>
      <c r="F29" s="118"/>
      <c r="G29" s="118"/>
      <c r="H29" s="118"/>
      <c r="I29" s="118">
        <v>0.2</v>
      </c>
      <c r="J29" s="118">
        <v>0.4</v>
      </c>
      <c r="K29" s="118">
        <v>0.4</v>
      </c>
    </row>
    <row r="30" spans="1:11" s="109" customFormat="1">
      <c r="A30" s="114"/>
      <c r="B30" s="113"/>
      <c r="C30" s="116"/>
      <c r="D30" s="117"/>
      <c r="E30" s="119">
        <f t="shared" ref="E30:K30" si="12">$C$29*E29</f>
        <v>0</v>
      </c>
      <c r="F30" s="119">
        <f t="shared" si="12"/>
        <v>0</v>
      </c>
      <c r="G30" s="119">
        <f t="shared" si="12"/>
        <v>0</v>
      </c>
      <c r="H30" s="119">
        <f t="shared" si="12"/>
        <v>0</v>
      </c>
      <c r="I30" s="119">
        <f t="shared" si="12"/>
        <v>142539.264</v>
      </c>
      <c r="J30" s="119">
        <f t="shared" si="12"/>
        <v>285078.52799999999</v>
      </c>
      <c r="K30" s="119">
        <f t="shared" si="12"/>
        <v>285078.52799999999</v>
      </c>
    </row>
    <row r="31" spans="1:11" s="109" customFormat="1">
      <c r="A31" s="114">
        <v>8</v>
      </c>
      <c r="B31" s="113" t="s">
        <v>219</v>
      </c>
      <c r="C31" s="116">
        <f>'Planilha Orçamentária'!I96</f>
        <v>21128.67</v>
      </c>
      <c r="D31" s="117">
        <f>C31/$C$40</f>
        <v>1.4947017587288294E-2</v>
      </c>
      <c r="E31" s="118"/>
      <c r="F31" s="118"/>
      <c r="G31" s="118"/>
      <c r="H31" s="118"/>
      <c r="I31" s="118"/>
      <c r="J31" s="118">
        <v>0.5</v>
      </c>
      <c r="K31" s="118">
        <v>0.5</v>
      </c>
    </row>
    <row r="32" spans="1:11" s="109" customFormat="1">
      <c r="A32" s="114"/>
      <c r="B32" s="113"/>
      <c r="C32" s="116"/>
      <c r="D32" s="117"/>
      <c r="E32" s="119">
        <f>$C31*E31</f>
        <v>0</v>
      </c>
      <c r="F32" s="119">
        <f t="shared" ref="F32:G32" si="13">$C31*F31</f>
        <v>0</v>
      </c>
      <c r="G32" s="119">
        <f t="shared" si="13"/>
        <v>0</v>
      </c>
      <c r="H32" s="119">
        <f>$C31*H31</f>
        <v>0</v>
      </c>
      <c r="I32" s="119">
        <f t="shared" ref="I32:J32" si="14">$C31*I31</f>
        <v>0</v>
      </c>
      <c r="J32" s="119">
        <f t="shared" si="14"/>
        <v>10564.334999999999</v>
      </c>
      <c r="K32" s="119">
        <f>$C31*K31</f>
        <v>10564.334999999999</v>
      </c>
    </row>
    <row r="33" spans="1:11" s="109" customFormat="1">
      <c r="A33" s="114">
        <v>9</v>
      </c>
      <c r="B33" s="113" t="s">
        <v>218</v>
      </c>
      <c r="C33" s="116">
        <f>'Planilha Orçamentária'!I103</f>
        <v>47548.5</v>
      </c>
      <c r="D33" s="117">
        <f>C33/$C$40</f>
        <v>3.3637151119742865E-2</v>
      </c>
      <c r="E33" s="118"/>
      <c r="F33" s="118"/>
      <c r="G33" s="118"/>
      <c r="H33" s="118"/>
      <c r="I33" s="118">
        <v>0.65</v>
      </c>
      <c r="J33" s="118"/>
      <c r="K33" s="118">
        <v>0.35</v>
      </c>
    </row>
    <row r="34" spans="1:11" s="109" customFormat="1">
      <c r="A34" s="114"/>
      <c r="B34" s="113"/>
      <c r="C34" s="116"/>
      <c r="D34" s="117"/>
      <c r="E34" s="119">
        <f>$C33*E33</f>
        <v>0</v>
      </c>
      <c r="F34" s="119">
        <f t="shared" ref="F34:G34" si="15">$C33*F33</f>
        <v>0</v>
      </c>
      <c r="G34" s="119">
        <f t="shared" si="15"/>
        <v>0</v>
      </c>
      <c r="H34" s="119">
        <f>$C33*H33</f>
        <v>0</v>
      </c>
      <c r="I34" s="119">
        <f t="shared" ref="I34:J34" si="16">$C33*I33</f>
        <v>30906.525000000001</v>
      </c>
      <c r="J34" s="119">
        <f t="shared" si="16"/>
        <v>0</v>
      </c>
      <c r="K34" s="119">
        <f>$C33*K33</f>
        <v>16641.974999999999</v>
      </c>
    </row>
    <row r="35" spans="1:11" s="109" customFormat="1">
      <c r="A35" s="114">
        <v>10</v>
      </c>
      <c r="B35" s="113" t="s">
        <v>217</v>
      </c>
      <c r="C35" s="116">
        <f>'Planilha Orçamentária'!I116</f>
        <v>15130.44</v>
      </c>
      <c r="D35" s="117">
        <f>C35/$C$40</f>
        <v>1.0703700364642466E-2</v>
      </c>
      <c r="E35" s="118"/>
      <c r="F35" s="118"/>
      <c r="G35" s="118">
        <v>0.5</v>
      </c>
      <c r="H35" s="118">
        <v>0.5</v>
      </c>
      <c r="I35" s="118"/>
      <c r="J35" s="118"/>
      <c r="K35" s="118"/>
    </row>
    <row r="36" spans="1:11" s="109" customFormat="1">
      <c r="A36" s="114"/>
      <c r="B36" s="113"/>
      <c r="C36" s="116"/>
      <c r="D36" s="117"/>
      <c r="E36" s="119">
        <f>$C35*E35</f>
        <v>0</v>
      </c>
      <c r="F36" s="119">
        <f t="shared" ref="F36:G36" si="17">$C35*F35</f>
        <v>0</v>
      </c>
      <c r="G36" s="119">
        <f t="shared" si="17"/>
        <v>7565.22</v>
      </c>
      <c r="H36" s="119">
        <f>$C35*H35</f>
        <v>7565.22</v>
      </c>
      <c r="I36" s="119">
        <f t="shared" ref="I36:J36" si="18">$C35*I35</f>
        <v>0</v>
      </c>
      <c r="J36" s="119">
        <f t="shared" si="18"/>
        <v>0</v>
      </c>
      <c r="K36" s="119">
        <f>$C35*K35</f>
        <v>0</v>
      </c>
    </row>
    <row r="37" spans="1:11" s="109" customFormat="1">
      <c r="A37" s="114">
        <v>11</v>
      </c>
      <c r="B37" s="113" t="s">
        <v>216</v>
      </c>
      <c r="C37" s="116">
        <f>'Planilha Orçamentária'!I120</f>
        <v>2644.7</v>
      </c>
      <c r="D37" s="117">
        <f>C37/$C$40</f>
        <v>1.8709354357421151E-3</v>
      </c>
      <c r="E37" s="118"/>
      <c r="F37" s="118"/>
      <c r="G37" s="118"/>
      <c r="H37" s="118"/>
      <c r="I37" s="118"/>
      <c r="J37" s="118"/>
      <c r="K37" s="118">
        <v>1</v>
      </c>
    </row>
    <row r="38" spans="1:11" s="109" customFormat="1">
      <c r="A38" s="114"/>
      <c r="B38" s="113"/>
      <c r="C38" s="116"/>
      <c r="D38" s="117"/>
      <c r="E38" s="119">
        <f>$C37*E37</f>
        <v>0</v>
      </c>
      <c r="F38" s="119">
        <f t="shared" ref="F38:G38" si="19">$C37*F37</f>
        <v>0</v>
      </c>
      <c r="G38" s="119">
        <f t="shared" si="19"/>
        <v>0</v>
      </c>
      <c r="H38" s="119">
        <f>$C37*H37</f>
        <v>0</v>
      </c>
      <c r="I38" s="119">
        <f t="shared" ref="I38:J38" si="20">$C37*I37</f>
        <v>0</v>
      </c>
      <c r="J38" s="119">
        <f t="shared" si="20"/>
        <v>0</v>
      </c>
      <c r="K38" s="119">
        <f>$C37*K37</f>
        <v>2644.7</v>
      </c>
    </row>
    <row r="39" spans="1:11" s="109" customFormat="1" ht="13.8" thickBot="1">
      <c r="A39" s="120"/>
      <c r="B39" s="120"/>
      <c r="C39" s="121"/>
      <c r="D39" s="120"/>
      <c r="E39" s="120"/>
      <c r="F39" s="120"/>
      <c r="G39" s="120"/>
      <c r="H39" s="120"/>
      <c r="I39" s="120"/>
      <c r="J39" s="120"/>
      <c r="K39" s="120"/>
    </row>
    <row r="40" spans="1:11" s="109" customFormat="1" ht="13.8" thickBot="1">
      <c r="A40" s="260" t="s">
        <v>89</v>
      </c>
      <c r="B40" s="261"/>
      <c r="C40" s="163">
        <f>(C19+C21+C23+C17+C25+C27+C31+C33+C35+C37+C29)</f>
        <v>1413570.96</v>
      </c>
      <c r="D40" s="161">
        <f>TRUNC(D19+D21+D23+D17+D25+D27+D31+D33+D35+D37+D29,2)</f>
        <v>1</v>
      </c>
      <c r="E40" s="162">
        <f>(E20+E22+E2+E24+E18+E26+E28+E32+E34+E36+E38+E30)</f>
        <v>108189.425</v>
      </c>
      <c r="F40" s="162">
        <f t="shared" ref="F40:G40" si="21">(F20+F22+F2+F24+F18+F26+F28+F32+F34+F36+F38+F30)</f>
        <v>204240.06200000001</v>
      </c>
      <c r="G40" s="162">
        <f t="shared" si="21"/>
        <v>216489.13800000001</v>
      </c>
      <c r="H40" s="162">
        <f>(H20+H22+H2+H24+H18+H26+H28+H32+H34+H36+H38+H30)</f>
        <v>96841.190999999992</v>
      </c>
      <c r="I40" s="162">
        <f t="shared" ref="I40:J40" si="22">(I20+I22+I2+I24+I18+I26+I28+I32+I34+I36+I38+I30)</f>
        <v>177238.74299999999</v>
      </c>
      <c r="J40" s="162">
        <f t="shared" si="22"/>
        <v>295642.86300000001</v>
      </c>
      <c r="K40" s="162">
        <f>(K20+K22+K2+K24+K18+K26+K28+K32+K34+K36+K38+K30)</f>
        <v>314929.538</v>
      </c>
    </row>
    <row r="41" spans="1:11" s="109" customFormat="1" ht="13.8" thickBot="1">
      <c r="A41" s="255" t="s">
        <v>90</v>
      </c>
      <c r="B41" s="256"/>
      <c r="C41" s="256"/>
      <c r="D41" s="257"/>
      <c r="E41" s="122">
        <f t="shared" ref="E41:K41" si="23">E40/$C$40</f>
        <v>7.6536253263154191E-2</v>
      </c>
      <c r="F41" s="122">
        <f t="shared" si="23"/>
        <v>0.14448518523612003</v>
      </c>
      <c r="G41" s="122">
        <f t="shared" si="23"/>
        <v>0.15315052737076604</v>
      </c>
      <c r="H41" s="122">
        <f t="shared" si="23"/>
        <v>6.8508192188668049E-2</v>
      </c>
      <c r="I41" s="122">
        <f t="shared" si="23"/>
        <v>0.12538368997054097</v>
      </c>
      <c r="J41" s="122">
        <f t="shared" si="23"/>
        <v>0.20914610682154933</v>
      </c>
      <c r="K41" s="122">
        <f t="shared" si="23"/>
        <v>0.22279004514920142</v>
      </c>
    </row>
    <row r="42" spans="1:11" s="109" customFormat="1" ht="13.8" thickBot="1">
      <c r="A42" s="255" t="s">
        <v>91</v>
      </c>
      <c r="B42" s="256"/>
      <c r="C42" s="256"/>
      <c r="D42" s="257"/>
      <c r="E42" s="123">
        <f>E41</f>
        <v>7.6536253263154191E-2</v>
      </c>
      <c r="F42" s="123">
        <f t="shared" ref="F42:K42" si="24">E42+F41</f>
        <v>0.22102143849927422</v>
      </c>
      <c r="G42" s="123">
        <f t="shared" si="24"/>
        <v>0.37417196587004026</v>
      </c>
      <c r="H42" s="123">
        <f t="shared" si="24"/>
        <v>0.44268015805870831</v>
      </c>
      <c r="I42" s="123">
        <f t="shared" si="24"/>
        <v>0.56806384802924925</v>
      </c>
      <c r="J42" s="123">
        <f t="shared" si="24"/>
        <v>0.77720995485079858</v>
      </c>
      <c r="K42" s="123">
        <f t="shared" si="24"/>
        <v>1</v>
      </c>
    </row>
  </sheetData>
  <mergeCells count="9">
    <mergeCell ref="A41:D41"/>
    <mergeCell ref="A42:D42"/>
    <mergeCell ref="A4:B4"/>
    <mergeCell ref="A1:F1"/>
    <mergeCell ref="A2:F2"/>
    <mergeCell ref="A40:B40"/>
    <mergeCell ref="C7:E7"/>
    <mergeCell ref="A11:K13"/>
    <mergeCell ref="E14:K14"/>
  </mergeCells>
  <conditionalFormatting sqref="A3:A4">
    <cfRule type="cellIs" dxfId="3" priority="7" stopIfTrue="1" operator="equal">
      <formula>0</formula>
    </cfRule>
  </conditionalFormatting>
  <conditionalFormatting sqref="A9:B10">
    <cfRule type="cellIs" dxfId="2" priority="1" stopIfTrue="1" operator="equal">
      <formula>0</formula>
    </cfRule>
  </conditionalFormatting>
  <conditionalFormatting sqref="A6:C7">
    <cfRule type="cellIs" dxfId="1" priority="4" stopIfTrue="1" operator="equal">
      <formula>0</formula>
    </cfRule>
  </conditionalFormatting>
  <conditionalFormatting sqref="D3 C3:C4 D6 B8:D8">
    <cfRule type="cellIs" dxfId="0" priority="8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49" fitToHeight="0" orientation="landscape" horizontalDpi="360" verticalDpi="360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Planilha Orçamentária</vt:lpstr>
      <vt:lpstr>Memória de Cálculo</vt:lpstr>
      <vt:lpstr>BDI Geral</vt:lpstr>
      <vt:lpstr>Composições Unitárias</vt:lpstr>
      <vt:lpstr>Cronograma F.F.</vt:lpstr>
      <vt:lpstr>'Composições Unitárias'!Area_de_impressao</vt:lpstr>
      <vt:lpstr>'Cronograma F.F.'!Area_de_impressao</vt:lpstr>
      <vt:lpstr>'Memória de Cálculo'!Area_de_impressao</vt:lpstr>
      <vt:lpstr>'Planilha Orçamentária'!Area_de_impressao</vt:lpstr>
      <vt:lpstr>'Memória de Cálculo'!Titulos_de_impressao</vt:lpstr>
      <vt:lpstr>'Planilha Orçamentária'!Titulos_de_impressao</vt:lpstr>
    </vt:vector>
  </TitlesOfParts>
  <Company>PNUD/BRA/00/027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Licitação Afrânio</cp:lastModifiedBy>
  <cp:lastPrinted>2023-12-21T13:00:51Z</cp:lastPrinted>
  <dcterms:created xsi:type="dcterms:W3CDTF">2005-05-06T14:48:20Z</dcterms:created>
  <dcterms:modified xsi:type="dcterms:W3CDTF">2024-01-03T13:46:02Z</dcterms:modified>
</cp:coreProperties>
</file>