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n\OneDrive\Área de Trabalho\NTC Engenharia\01 - PREFEITURAS\Afrânio\Obras\Educação\Quadra coberta com arquibancada\Orçamento\"/>
    </mc:Choice>
  </mc:AlternateContent>
  <xr:revisionPtr revIDLastSave="0" documentId="13_ncr:1_{C649F200-099F-4DCB-9162-9040208BA8C6}" xr6:coauthVersionLast="47" xr6:coauthVersionMax="47" xr10:uidLastSave="{00000000-0000-0000-0000-000000000000}"/>
  <bookViews>
    <workbookView xWindow="-108" yWindow="-108" windowWidth="23256" windowHeight="12456" tabRatio="914" activeTab="6" xr2:uid="{00000000-000D-0000-FFFF-FFFF00000000}"/>
  </bookViews>
  <sheets>
    <sheet name="Planilha Orçamentária" sheetId="187" r:id="rId1"/>
    <sheet name="Memória de Cálculo" sheetId="188" r:id="rId2"/>
    <sheet name="BDI Geral" sheetId="185" r:id="rId3"/>
    <sheet name="BDI Diferenciado" sheetId="192" r:id="rId4"/>
    <sheet name="Composições Unitárias" sheetId="189" r:id="rId5"/>
    <sheet name="Cronograma F.F." sheetId="190" r:id="rId6"/>
    <sheet name="Curva ABC" sheetId="191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Fill" localSheetId="3" hidden="1">#REF!</definedName>
    <definedName name="_Fill" localSheetId="2" hidden="1">#REF!</definedName>
    <definedName name="_Fill" localSheetId="5" hidden="1">#REF!</definedName>
    <definedName name="_Fill" hidden="1">#REF!</definedName>
    <definedName name="_Key1" localSheetId="3" hidden="1">#REF!</definedName>
    <definedName name="_Key1" localSheetId="2" hidden="1">#REF!</definedName>
    <definedName name="_Key1" localSheetId="5" hidden="1">#REF!</definedName>
    <definedName name="_Key1" hidden="1">#REF!</definedName>
    <definedName name="_Key2" localSheetId="3" hidden="1">#REF!</definedName>
    <definedName name="_Key2" localSheetId="2" hidden="1">#REF!</definedName>
    <definedName name="_Key2" localSheetId="5" hidden="1">#REF!</definedName>
    <definedName name="_Key2" hidden="1">#REF!</definedName>
    <definedName name="_Order1" hidden="1">255</definedName>
    <definedName name="_Order2" hidden="1">255</definedName>
    <definedName name="_Sort" localSheetId="3" hidden="1">#REF!</definedName>
    <definedName name="_Sort" localSheetId="2" hidden="1">#REF!</definedName>
    <definedName name="_Sort" localSheetId="5" hidden="1">#REF!</definedName>
    <definedName name="_Sort" hidden="1">#REF!</definedName>
    <definedName name="a" localSheetId="3" hidden="1">#REF!</definedName>
    <definedName name="a" localSheetId="2" hidden="1">#REF!</definedName>
    <definedName name="a" localSheetId="5" hidden="1">#REF!</definedName>
    <definedName name="a" hidden="1">#REF!</definedName>
    <definedName name="ACRE" localSheetId="3" hidden="1">#REF!</definedName>
    <definedName name="ACRE" localSheetId="2" hidden="1">#REF!</definedName>
    <definedName name="ACRE" localSheetId="5" hidden="1">#REF!</definedName>
    <definedName name="ACRE" hidden="1">#REF!</definedName>
    <definedName name="ademir" hidden="1">{#N/A,#N/A,FALSE,"Cronograma";#N/A,#N/A,FALSE,"Cronogr. 2"}</definedName>
    <definedName name="_xlnm.Print_Area" localSheetId="4">'Composições Unitárias'!$A$1:$H$104</definedName>
    <definedName name="_xlnm.Print_Area" localSheetId="5">'Cronograma F.F.'!$A$1:$K$43</definedName>
    <definedName name="_xlnm.Print_Area" localSheetId="6">'Curva ABC'!$A$1:$K$112</definedName>
    <definedName name="_xlnm.Print_Area" localSheetId="1">'Memória de Cálculo'!$A$1:$I$212</definedName>
    <definedName name="_xlnm.Print_Area" localSheetId="0">'Planilha Orçamentária'!$A$1:$J$134</definedName>
    <definedName name="bosta" hidden="1">{#N/A,#N/A,FALSE,"Cronograma";#N/A,#N/A,FALSE,"Cronogr. 2"}</definedName>
    <definedName name="CA´L" hidden="1">{#N/A,#N/A,FALSE,"Cronograma";#N/A,#N/A,FALSE,"Cronogr. 2"}</definedName>
    <definedName name="concorrentes" hidden="1">{#N/A,#N/A,FALSE,"Cronograma";#N/A,#N/A,FALSE,"Cronogr. 2"}</definedName>
    <definedName name="Popular" hidden="1">{#N/A,#N/A,FALSE,"Cronograma";#N/A,#N/A,FALSE,"Cronogr. 2"}</definedName>
    <definedName name="rio" hidden="1">{#N/A,#N/A,FALSE,"Cronograma";#N/A,#N/A,FALSE,"Cronogr. 2"}</definedName>
    <definedName name="SINAPI_AC" localSheetId="3" hidden="1">#REF!</definedName>
    <definedName name="SINAPI_AC" localSheetId="2" hidden="1">#REF!</definedName>
    <definedName name="SINAPI_AC" localSheetId="5" hidden="1">#REF!</definedName>
    <definedName name="SINAPI_AC" hidden="1">#REF!</definedName>
    <definedName name="ss" hidden="1">{#N/A,#N/A,FALSE,"Cronograma";#N/A,#N/A,FALSE,"Cronogr. 2"}</definedName>
    <definedName name="_xlnm.Print_Titles" localSheetId="6">'Curva ABC'!$1:$13</definedName>
    <definedName name="_xlnm.Print_Titles" localSheetId="1">'Memória de Cálculo'!$1:$13</definedName>
    <definedName name="_xlnm.Print_Titles" localSheetId="0">'Planilha Orçamentária'!$1:$13</definedName>
    <definedName name="wrn.Cronograma." hidden="1">{#N/A,#N/A,FALSE,"Cronograma";#N/A,#N/A,FALSE,"Cronogr. 2"}</definedName>
    <definedName name="wrn.GERAL." hidden="1">{#N/A,#N/A,FALSE,"ET-CAPA";#N/A,#N/A,FALSE,"ET-PAG1";#N/A,#N/A,FALSE,"ET-PAG2";#N/A,#N/A,FALSE,"ET-PAG3";#N/A,#N/A,FALSE,"ET-PAG4";#N/A,#N/A,FALSE,"ET-PAG5"}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91" l="1"/>
  <c r="G33" i="189"/>
  <c r="F10" i="191"/>
  <c r="I139" i="191"/>
  <c r="B15" i="191"/>
  <c r="C15" i="191"/>
  <c r="D15" i="191"/>
  <c r="E15" i="191"/>
  <c r="F15" i="191"/>
  <c r="G15" i="191"/>
  <c r="H15" i="191"/>
  <c r="B16" i="191"/>
  <c r="C16" i="191"/>
  <c r="D16" i="191"/>
  <c r="E16" i="191"/>
  <c r="F16" i="191"/>
  <c r="G16" i="191"/>
  <c r="H16" i="191"/>
  <c r="B17" i="191"/>
  <c r="C17" i="191"/>
  <c r="D17" i="191"/>
  <c r="E17" i="191"/>
  <c r="F17" i="191"/>
  <c r="G17" i="191"/>
  <c r="H17" i="191"/>
  <c r="B18" i="191"/>
  <c r="C18" i="191"/>
  <c r="D18" i="191"/>
  <c r="E18" i="191"/>
  <c r="F18" i="191"/>
  <c r="G18" i="191"/>
  <c r="H18" i="191"/>
  <c r="B19" i="191"/>
  <c r="C19" i="191"/>
  <c r="D19" i="191"/>
  <c r="E19" i="191"/>
  <c r="F19" i="191"/>
  <c r="G19" i="191"/>
  <c r="H19" i="191"/>
  <c r="B20" i="191"/>
  <c r="C20" i="191"/>
  <c r="D20" i="191"/>
  <c r="E20" i="191"/>
  <c r="F20" i="191"/>
  <c r="G20" i="191"/>
  <c r="H20" i="191"/>
  <c r="B21" i="191"/>
  <c r="C21" i="191"/>
  <c r="D21" i="191"/>
  <c r="E21" i="191"/>
  <c r="F21" i="191"/>
  <c r="G21" i="191"/>
  <c r="H21" i="191"/>
  <c r="B22" i="191"/>
  <c r="C22" i="191"/>
  <c r="D22" i="191"/>
  <c r="E22" i="191"/>
  <c r="F22" i="191"/>
  <c r="G22" i="191"/>
  <c r="H22" i="191"/>
  <c r="B23" i="191"/>
  <c r="C23" i="191"/>
  <c r="D23" i="191"/>
  <c r="E23" i="191"/>
  <c r="F23" i="191"/>
  <c r="G23" i="191"/>
  <c r="H23" i="191"/>
  <c r="B24" i="191"/>
  <c r="C24" i="191"/>
  <c r="D24" i="191"/>
  <c r="E24" i="191"/>
  <c r="F24" i="191"/>
  <c r="G24" i="191"/>
  <c r="H24" i="191"/>
  <c r="B25" i="191"/>
  <c r="C25" i="191"/>
  <c r="D25" i="191"/>
  <c r="E25" i="191"/>
  <c r="F25" i="191"/>
  <c r="G25" i="191"/>
  <c r="H25" i="191"/>
  <c r="B26" i="191"/>
  <c r="C26" i="191"/>
  <c r="D26" i="191"/>
  <c r="E26" i="191"/>
  <c r="F26" i="191"/>
  <c r="G26" i="191"/>
  <c r="H26" i="191"/>
  <c r="B27" i="191"/>
  <c r="C27" i="191"/>
  <c r="D27" i="191"/>
  <c r="E27" i="191"/>
  <c r="F27" i="191"/>
  <c r="G27" i="191"/>
  <c r="H27" i="191"/>
  <c r="B28" i="191"/>
  <c r="C28" i="191"/>
  <c r="D28" i="191"/>
  <c r="E28" i="191"/>
  <c r="F28" i="191"/>
  <c r="G28" i="191"/>
  <c r="H28" i="191"/>
  <c r="B29" i="191"/>
  <c r="C29" i="191"/>
  <c r="D29" i="191"/>
  <c r="E29" i="191"/>
  <c r="F29" i="191"/>
  <c r="G29" i="191"/>
  <c r="H29" i="191"/>
  <c r="B30" i="191"/>
  <c r="C30" i="191"/>
  <c r="D30" i="191"/>
  <c r="E30" i="191"/>
  <c r="F30" i="191"/>
  <c r="G30" i="191"/>
  <c r="H30" i="191"/>
  <c r="B31" i="191"/>
  <c r="C31" i="191"/>
  <c r="D31" i="191"/>
  <c r="E31" i="191"/>
  <c r="F31" i="191"/>
  <c r="G31" i="191"/>
  <c r="H31" i="191"/>
  <c r="B32" i="191"/>
  <c r="C32" i="191"/>
  <c r="D32" i="191"/>
  <c r="E32" i="191"/>
  <c r="F32" i="191"/>
  <c r="G32" i="191"/>
  <c r="H32" i="191"/>
  <c r="B33" i="191"/>
  <c r="C33" i="191"/>
  <c r="D33" i="191"/>
  <c r="E33" i="191"/>
  <c r="F33" i="191"/>
  <c r="G33" i="191"/>
  <c r="H33" i="191"/>
  <c r="B34" i="191"/>
  <c r="C34" i="191"/>
  <c r="D34" i="191"/>
  <c r="E34" i="191"/>
  <c r="F34" i="191"/>
  <c r="G34" i="191"/>
  <c r="H34" i="191"/>
  <c r="B35" i="191"/>
  <c r="C35" i="191"/>
  <c r="D35" i="191"/>
  <c r="E35" i="191"/>
  <c r="F35" i="191"/>
  <c r="G35" i="191"/>
  <c r="H35" i="191"/>
  <c r="B36" i="191"/>
  <c r="C36" i="191"/>
  <c r="D36" i="191"/>
  <c r="E36" i="191"/>
  <c r="F36" i="191"/>
  <c r="G36" i="191"/>
  <c r="H36" i="191"/>
  <c r="B37" i="191"/>
  <c r="C37" i="191"/>
  <c r="D37" i="191"/>
  <c r="E37" i="191"/>
  <c r="F37" i="191"/>
  <c r="G37" i="191"/>
  <c r="H37" i="191"/>
  <c r="B38" i="191"/>
  <c r="C38" i="191"/>
  <c r="D38" i="191"/>
  <c r="E38" i="191"/>
  <c r="F38" i="191"/>
  <c r="G38" i="191"/>
  <c r="H38" i="191"/>
  <c r="B39" i="191"/>
  <c r="C39" i="191"/>
  <c r="D39" i="191"/>
  <c r="E39" i="191"/>
  <c r="F39" i="191"/>
  <c r="G39" i="191"/>
  <c r="H39" i="191"/>
  <c r="B40" i="191"/>
  <c r="C40" i="191"/>
  <c r="D40" i="191"/>
  <c r="E40" i="191"/>
  <c r="F40" i="191"/>
  <c r="G40" i="191"/>
  <c r="H40" i="191"/>
  <c r="B41" i="191"/>
  <c r="C41" i="191"/>
  <c r="D41" i="191"/>
  <c r="E41" i="191"/>
  <c r="F41" i="191"/>
  <c r="G41" i="191"/>
  <c r="H41" i="191"/>
  <c r="B42" i="191"/>
  <c r="C42" i="191"/>
  <c r="D42" i="191"/>
  <c r="E42" i="191"/>
  <c r="F42" i="191"/>
  <c r="G42" i="191"/>
  <c r="H42" i="191"/>
  <c r="B43" i="191"/>
  <c r="C43" i="191"/>
  <c r="D43" i="191"/>
  <c r="E43" i="191"/>
  <c r="F43" i="191"/>
  <c r="G43" i="191"/>
  <c r="H43" i="191"/>
  <c r="B44" i="191"/>
  <c r="C44" i="191"/>
  <c r="D44" i="191"/>
  <c r="E44" i="191"/>
  <c r="F44" i="191"/>
  <c r="G44" i="191"/>
  <c r="H44" i="191"/>
  <c r="B45" i="191"/>
  <c r="C45" i="191"/>
  <c r="D45" i="191"/>
  <c r="E45" i="191"/>
  <c r="F45" i="191"/>
  <c r="G45" i="191"/>
  <c r="H45" i="191"/>
  <c r="B46" i="191"/>
  <c r="C46" i="191"/>
  <c r="D46" i="191"/>
  <c r="E46" i="191"/>
  <c r="F46" i="191"/>
  <c r="G46" i="191"/>
  <c r="H46" i="191"/>
  <c r="B47" i="191"/>
  <c r="C47" i="191"/>
  <c r="D47" i="191"/>
  <c r="E47" i="191"/>
  <c r="F47" i="191"/>
  <c r="G47" i="191"/>
  <c r="H47" i="191"/>
  <c r="B48" i="191"/>
  <c r="C48" i="191"/>
  <c r="D48" i="191"/>
  <c r="E48" i="191"/>
  <c r="F48" i="191"/>
  <c r="G48" i="191"/>
  <c r="H48" i="191"/>
  <c r="B49" i="191"/>
  <c r="C49" i="191"/>
  <c r="D49" i="191"/>
  <c r="E49" i="191"/>
  <c r="F49" i="191"/>
  <c r="G49" i="191"/>
  <c r="H49" i="191"/>
  <c r="B50" i="191"/>
  <c r="C50" i="191"/>
  <c r="D50" i="191"/>
  <c r="E50" i="191"/>
  <c r="F50" i="191"/>
  <c r="G50" i="191"/>
  <c r="H50" i="191"/>
  <c r="B51" i="191"/>
  <c r="C51" i="191"/>
  <c r="D51" i="191"/>
  <c r="E51" i="191"/>
  <c r="F51" i="191"/>
  <c r="G51" i="191"/>
  <c r="H51" i="191"/>
  <c r="B52" i="191"/>
  <c r="C52" i="191"/>
  <c r="D52" i="191"/>
  <c r="E52" i="191"/>
  <c r="F52" i="191"/>
  <c r="G52" i="191"/>
  <c r="H52" i="191"/>
  <c r="B53" i="191"/>
  <c r="C53" i="191"/>
  <c r="D53" i="191"/>
  <c r="E53" i="191"/>
  <c r="F53" i="191"/>
  <c r="G53" i="191"/>
  <c r="H53" i="191"/>
  <c r="B54" i="191"/>
  <c r="C54" i="191"/>
  <c r="D54" i="191"/>
  <c r="E54" i="191"/>
  <c r="F54" i="191"/>
  <c r="G54" i="191"/>
  <c r="H54" i="191"/>
  <c r="B55" i="191"/>
  <c r="C55" i="191"/>
  <c r="D55" i="191"/>
  <c r="E55" i="191"/>
  <c r="F55" i="191"/>
  <c r="G55" i="191"/>
  <c r="H55" i="191"/>
  <c r="B56" i="191"/>
  <c r="C56" i="191"/>
  <c r="D56" i="191"/>
  <c r="E56" i="191"/>
  <c r="F56" i="191"/>
  <c r="G56" i="191"/>
  <c r="H56" i="191"/>
  <c r="B57" i="191"/>
  <c r="C57" i="191"/>
  <c r="D57" i="191"/>
  <c r="E57" i="191"/>
  <c r="F57" i="191"/>
  <c r="G57" i="191"/>
  <c r="H57" i="191"/>
  <c r="B58" i="191"/>
  <c r="C58" i="191"/>
  <c r="D58" i="191"/>
  <c r="E58" i="191"/>
  <c r="F58" i="191"/>
  <c r="G58" i="191"/>
  <c r="H58" i="191"/>
  <c r="B59" i="191"/>
  <c r="C59" i="191"/>
  <c r="D59" i="191"/>
  <c r="E59" i="191"/>
  <c r="F59" i="191"/>
  <c r="G59" i="191"/>
  <c r="H59" i="191"/>
  <c r="B60" i="191"/>
  <c r="C60" i="191"/>
  <c r="D60" i="191"/>
  <c r="E60" i="191"/>
  <c r="F60" i="191"/>
  <c r="G60" i="191"/>
  <c r="H60" i="191"/>
  <c r="B61" i="191"/>
  <c r="C61" i="191"/>
  <c r="D61" i="191"/>
  <c r="E61" i="191"/>
  <c r="F61" i="191"/>
  <c r="G61" i="191"/>
  <c r="H61" i="191"/>
  <c r="B62" i="191"/>
  <c r="C62" i="191"/>
  <c r="D62" i="191"/>
  <c r="E62" i="191"/>
  <c r="F62" i="191"/>
  <c r="G62" i="191"/>
  <c r="H62" i="191"/>
  <c r="B63" i="191"/>
  <c r="C63" i="191"/>
  <c r="D63" i="191"/>
  <c r="E63" i="191"/>
  <c r="F63" i="191"/>
  <c r="G63" i="191"/>
  <c r="H63" i="191"/>
  <c r="B64" i="191"/>
  <c r="C64" i="191"/>
  <c r="D64" i="191"/>
  <c r="E64" i="191"/>
  <c r="F64" i="191"/>
  <c r="G64" i="191"/>
  <c r="H64" i="191"/>
  <c r="B65" i="191"/>
  <c r="C65" i="191"/>
  <c r="D65" i="191"/>
  <c r="E65" i="191"/>
  <c r="F65" i="191"/>
  <c r="G65" i="191"/>
  <c r="H65" i="191"/>
  <c r="B66" i="191"/>
  <c r="C66" i="191"/>
  <c r="D66" i="191"/>
  <c r="E66" i="191"/>
  <c r="F66" i="191"/>
  <c r="G66" i="191"/>
  <c r="H66" i="191"/>
  <c r="B67" i="191"/>
  <c r="C67" i="191"/>
  <c r="D67" i="191"/>
  <c r="E67" i="191"/>
  <c r="F67" i="191"/>
  <c r="G67" i="191"/>
  <c r="H67" i="191"/>
  <c r="B68" i="191"/>
  <c r="C68" i="191"/>
  <c r="D68" i="191"/>
  <c r="E68" i="191"/>
  <c r="F68" i="191"/>
  <c r="G68" i="191"/>
  <c r="H68" i="191"/>
  <c r="B69" i="191"/>
  <c r="C69" i="191"/>
  <c r="D69" i="191"/>
  <c r="E69" i="191"/>
  <c r="F69" i="191"/>
  <c r="G69" i="191"/>
  <c r="H69" i="191"/>
  <c r="B70" i="191"/>
  <c r="C70" i="191"/>
  <c r="D70" i="191"/>
  <c r="E70" i="191"/>
  <c r="F70" i="191"/>
  <c r="G70" i="191"/>
  <c r="H70" i="191"/>
  <c r="B71" i="191"/>
  <c r="C71" i="191"/>
  <c r="D71" i="191"/>
  <c r="E71" i="191"/>
  <c r="F71" i="191"/>
  <c r="G71" i="191"/>
  <c r="H71" i="191"/>
  <c r="B72" i="191"/>
  <c r="C72" i="191"/>
  <c r="D72" i="191"/>
  <c r="E72" i="191"/>
  <c r="F72" i="191"/>
  <c r="G72" i="191"/>
  <c r="H72" i="191"/>
  <c r="B73" i="191"/>
  <c r="C73" i="191"/>
  <c r="D73" i="191"/>
  <c r="E73" i="191"/>
  <c r="F73" i="191"/>
  <c r="G73" i="191"/>
  <c r="H73" i="191"/>
  <c r="B74" i="191"/>
  <c r="C74" i="191"/>
  <c r="D74" i="191"/>
  <c r="E74" i="191"/>
  <c r="F74" i="191"/>
  <c r="G74" i="191"/>
  <c r="H74" i="191"/>
  <c r="B75" i="191"/>
  <c r="C75" i="191"/>
  <c r="D75" i="191"/>
  <c r="E75" i="191"/>
  <c r="F75" i="191"/>
  <c r="G75" i="191"/>
  <c r="H75" i="191"/>
  <c r="B76" i="191"/>
  <c r="C76" i="191"/>
  <c r="D76" i="191"/>
  <c r="E76" i="191"/>
  <c r="F76" i="191"/>
  <c r="G76" i="191"/>
  <c r="H76" i="191"/>
  <c r="B77" i="191"/>
  <c r="C77" i="191"/>
  <c r="D77" i="191"/>
  <c r="E77" i="191"/>
  <c r="F77" i="191"/>
  <c r="G77" i="191"/>
  <c r="H77" i="191"/>
  <c r="B78" i="191"/>
  <c r="C78" i="191"/>
  <c r="D78" i="191"/>
  <c r="E78" i="191"/>
  <c r="F78" i="191"/>
  <c r="G78" i="191"/>
  <c r="H78" i="191"/>
  <c r="B79" i="191"/>
  <c r="C79" i="191"/>
  <c r="D79" i="191"/>
  <c r="E79" i="191"/>
  <c r="F79" i="191"/>
  <c r="G79" i="191"/>
  <c r="H79" i="191"/>
  <c r="B80" i="191"/>
  <c r="C80" i="191"/>
  <c r="D80" i="191"/>
  <c r="E80" i="191"/>
  <c r="F80" i="191"/>
  <c r="G80" i="191"/>
  <c r="H80" i="191"/>
  <c r="B81" i="191"/>
  <c r="C81" i="191"/>
  <c r="D81" i="191"/>
  <c r="E81" i="191"/>
  <c r="F81" i="191"/>
  <c r="G81" i="191"/>
  <c r="H81" i="191"/>
  <c r="B82" i="191"/>
  <c r="C82" i="191"/>
  <c r="D82" i="191"/>
  <c r="E82" i="191"/>
  <c r="F82" i="191"/>
  <c r="G82" i="191"/>
  <c r="H82" i="191"/>
  <c r="B83" i="191"/>
  <c r="C83" i="191"/>
  <c r="D83" i="191"/>
  <c r="E83" i="191"/>
  <c r="F83" i="191"/>
  <c r="G83" i="191"/>
  <c r="H83" i="191"/>
  <c r="B84" i="191"/>
  <c r="C84" i="191"/>
  <c r="D84" i="191"/>
  <c r="E84" i="191"/>
  <c r="F84" i="191"/>
  <c r="G84" i="191"/>
  <c r="H84" i="191"/>
  <c r="B85" i="191"/>
  <c r="C85" i="191"/>
  <c r="D85" i="191"/>
  <c r="E85" i="191"/>
  <c r="F85" i="191"/>
  <c r="G85" i="191"/>
  <c r="H85" i="191"/>
  <c r="B86" i="191"/>
  <c r="C86" i="191"/>
  <c r="D86" i="191"/>
  <c r="E86" i="191"/>
  <c r="F86" i="191"/>
  <c r="G86" i="191"/>
  <c r="H86" i="191"/>
  <c r="B87" i="191"/>
  <c r="C87" i="191"/>
  <c r="D87" i="191"/>
  <c r="E87" i="191"/>
  <c r="F87" i="191"/>
  <c r="G87" i="191"/>
  <c r="H87" i="191"/>
  <c r="B88" i="191"/>
  <c r="C88" i="191"/>
  <c r="D88" i="191"/>
  <c r="E88" i="191"/>
  <c r="F88" i="191"/>
  <c r="G88" i="191"/>
  <c r="H88" i="191"/>
  <c r="B89" i="191"/>
  <c r="C89" i="191"/>
  <c r="D89" i="191"/>
  <c r="E89" i="191"/>
  <c r="F89" i="191"/>
  <c r="G89" i="191"/>
  <c r="H89" i="191"/>
  <c r="H92" i="189"/>
  <c r="H99" i="189"/>
  <c r="G78" i="187" s="1"/>
  <c r="H96" i="189"/>
  <c r="H95" i="189"/>
  <c r="H94" i="189"/>
  <c r="H93" i="189"/>
  <c r="H101" i="189"/>
  <c r="H102" i="189" s="1"/>
  <c r="H98" i="189"/>
  <c r="H97" i="189"/>
  <c r="I130" i="188"/>
  <c r="F79" i="187" s="1"/>
  <c r="I138" i="188"/>
  <c r="F83" i="187" s="1"/>
  <c r="I136" i="188"/>
  <c r="F82" i="187" s="1"/>
  <c r="I134" i="188"/>
  <c r="F81" i="187" s="1"/>
  <c r="I132" i="188"/>
  <c r="F80" i="187" s="1"/>
  <c r="C19" i="192"/>
  <c r="C25" i="192" s="1"/>
  <c r="F10" i="187" s="1"/>
  <c r="I168" i="191"/>
  <c r="I158" i="191"/>
  <c r="I179" i="191"/>
  <c r="I138" i="191"/>
  <c r="I140" i="191"/>
  <c r="I163" i="191"/>
  <c r="I150" i="191"/>
  <c r="I116" i="191"/>
  <c r="I120" i="191"/>
  <c r="I151" i="191"/>
  <c r="I141" i="191"/>
  <c r="I145" i="191"/>
  <c r="I187" i="191"/>
  <c r="I159" i="191"/>
  <c r="I118" i="191"/>
  <c r="I190" i="191"/>
  <c r="I189" i="191"/>
  <c r="I174" i="191"/>
  <c r="I172" i="191"/>
  <c r="I186" i="191"/>
  <c r="I155" i="191"/>
  <c r="I134" i="191"/>
  <c r="I32" i="191" s="1"/>
  <c r="I164" i="191"/>
  <c r="I131" i="191"/>
  <c r="I182" i="191"/>
  <c r="I156" i="191"/>
  <c r="I136" i="191"/>
  <c r="I162" i="191"/>
  <c r="I127" i="191"/>
  <c r="I171" i="191"/>
  <c r="I133" i="191"/>
  <c r="I125" i="191"/>
  <c r="I160" i="191"/>
  <c r="I173" i="191"/>
  <c r="I191" i="191"/>
  <c r="I132" i="191"/>
  <c r="I123" i="191"/>
  <c r="I130" i="191"/>
  <c r="I169" i="191"/>
  <c r="I185" i="191"/>
  <c r="I143" i="191"/>
  <c r="I128" i="191"/>
  <c r="I176" i="191"/>
  <c r="I119" i="191"/>
  <c r="H14" i="191"/>
  <c r="G14" i="191"/>
  <c r="F14" i="191"/>
  <c r="E14" i="191"/>
  <c r="D14" i="191"/>
  <c r="C14" i="191"/>
  <c r="B14" i="191"/>
  <c r="E10" i="191"/>
  <c r="H81" i="189"/>
  <c r="H84" i="189"/>
  <c r="H85" i="189" s="1"/>
  <c r="H80" i="189"/>
  <c r="H71" i="189"/>
  <c r="H72" i="189" s="1"/>
  <c r="H68" i="189"/>
  <c r="H69" i="189" s="1"/>
  <c r="H22" i="189"/>
  <c r="H21" i="189"/>
  <c r="H18" i="189"/>
  <c r="H19" i="189" s="1"/>
  <c r="H33" i="189"/>
  <c r="H34" i="189" s="1"/>
  <c r="H30" i="189"/>
  <c r="H31" i="189" s="1"/>
  <c r="H59" i="189"/>
  <c r="H56" i="189"/>
  <c r="H57" i="189" s="1"/>
  <c r="L105" i="187"/>
  <c r="L106" i="187" s="1"/>
  <c r="I203" i="188"/>
  <c r="F116" i="187" s="1"/>
  <c r="G205" i="188"/>
  <c r="G206" i="188"/>
  <c r="G207" i="188"/>
  <c r="G198" i="188"/>
  <c r="D191" i="188"/>
  <c r="D183" i="188"/>
  <c r="I172" i="188"/>
  <c r="I171" i="188"/>
  <c r="I170" i="188"/>
  <c r="I169" i="188"/>
  <c r="I159" i="188"/>
  <c r="I158" i="188"/>
  <c r="I157" i="188"/>
  <c r="I156" i="188"/>
  <c r="I113" i="188"/>
  <c r="I112" i="188"/>
  <c r="I111" i="188"/>
  <c r="I110" i="188"/>
  <c r="K81" i="188"/>
  <c r="K82" i="188" s="1"/>
  <c r="L81" i="188"/>
  <c r="L83" i="188" s="1"/>
  <c r="I100" i="188"/>
  <c r="I99" i="188"/>
  <c r="I84" i="188"/>
  <c r="I82" i="188"/>
  <c r="I83" i="188"/>
  <c r="I81" i="188"/>
  <c r="D67" i="188"/>
  <c r="I67" i="188" s="1"/>
  <c r="F50" i="187" s="1"/>
  <c r="D65" i="188"/>
  <c r="I65" i="188" s="1"/>
  <c r="F48" i="187" s="1"/>
  <c r="D69" i="188"/>
  <c r="D68" i="188"/>
  <c r="D66" i="188"/>
  <c r="D64" i="188"/>
  <c r="D57" i="188"/>
  <c r="D62" i="188"/>
  <c r="D61" i="188"/>
  <c r="D59" i="188"/>
  <c r="I59" i="188" s="1"/>
  <c r="F42" i="187" s="1"/>
  <c r="D58" i="188"/>
  <c r="D60" i="188"/>
  <c r="I60" i="188" s="1"/>
  <c r="F43" i="187" s="1"/>
  <c r="D21" i="188"/>
  <c r="D54" i="188"/>
  <c r="D53" i="188"/>
  <c r="D52" i="188"/>
  <c r="I52" i="188" s="1"/>
  <c r="F35" i="187" s="1"/>
  <c r="D51" i="188"/>
  <c r="I51" i="188" s="1"/>
  <c r="F34" i="187" s="1"/>
  <c r="D50" i="188"/>
  <c r="D49" i="188"/>
  <c r="D48" i="188"/>
  <c r="I46" i="188"/>
  <c r="I45" i="188"/>
  <c r="I44" i="188"/>
  <c r="I43" i="188"/>
  <c r="I27" i="188"/>
  <c r="I26" i="188"/>
  <c r="I25" i="188"/>
  <c r="I24" i="188"/>
  <c r="G140" i="188"/>
  <c r="I140" i="188" s="1"/>
  <c r="F84" i="187" s="1"/>
  <c r="I149" i="188"/>
  <c r="F93" i="187" s="1"/>
  <c r="I148" i="188"/>
  <c r="F92" i="187" s="1"/>
  <c r="I147" i="188"/>
  <c r="F91" i="187" s="1"/>
  <c r="I146" i="188"/>
  <c r="F90" i="187" s="1"/>
  <c r="I145" i="188"/>
  <c r="F89" i="187" s="1"/>
  <c r="I144" i="188"/>
  <c r="F88" i="187" s="1"/>
  <c r="I143" i="188"/>
  <c r="F87" i="187" s="1"/>
  <c r="I142" i="188"/>
  <c r="F86" i="187" s="1"/>
  <c r="I141" i="188"/>
  <c r="F85" i="187" s="1"/>
  <c r="I129" i="188"/>
  <c r="F78" i="187" s="1"/>
  <c r="F44" i="189"/>
  <c r="F48" i="189"/>
  <c r="I89" i="188"/>
  <c r="I88" i="188"/>
  <c r="D126" i="188"/>
  <c r="I74" i="188"/>
  <c r="I73" i="188"/>
  <c r="I17" i="188"/>
  <c r="I34" i="188"/>
  <c r="I33" i="188"/>
  <c r="I31" i="188"/>
  <c r="L14" i="187"/>
  <c r="I25" i="191" l="1"/>
  <c r="I18" i="191"/>
  <c r="I45" i="191"/>
  <c r="I23" i="191"/>
  <c r="I54" i="191"/>
  <c r="I47" i="191"/>
  <c r="I34" i="191"/>
  <c r="I20" i="191"/>
  <c r="H83" i="187"/>
  <c r="H79" i="187"/>
  <c r="H81" i="187"/>
  <c r="H82" i="187"/>
  <c r="H80" i="187"/>
  <c r="I89" i="191"/>
  <c r="I36" i="191"/>
  <c r="I62" i="191"/>
  <c r="I61" i="191"/>
  <c r="I28" i="191"/>
  <c r="I67" i="191"/>
  <c r="I38" i="191"/>
  <c r="I35" i="191"/>
  <c r="I71" i="191"/>
  <c r="I53" i="191"/>
  <c r="I16" i="191"/>
  <c r="I167" i="191"/>
  <c r="I153" i="191"/>
  <c r="I126" i="191"/>
  <c r="I52" i="191" s="1"/>
  <c r="I188" i="191"/>
  <c r="H103" i="189"/>
  <c r="H82" i="189"/>
  <c r="H86" i="189" s="1"/>
  <c r="G111" i="187" s="1"/>
  <c r="H73" i="189"/>
  <c r="I180" i="191"/>
  <c r="I149" i="191"/>
  <c r="I161" i="191"/>
  <c r="I80" i="191" s="1"/>
  <c r="I117" i="191"/>
  <c r="I144" i="191"/>
  <c r="I184" i="191"/>
  <c r="I42" i="191" s="1"/>
  <c r="I137" i="191"/>
  <c r="I129" i="191"/>
  <c r="I135" i="191"/>
  <c r="I33" i="191" s="1"/>
  <c r="I124" i="191"/>
  <c r="I175" i="191"/>
  <c r="I177" i="191"/>
  <c r="I57" i="191" s="1"/>
  <c r="I121" i="191"/>
  <c r="I178" i="191"/>
  <c r="I147" i="191"/>
  <c r="I170" i="191"/>
  <c r="I157" i="191"/>
  <c r="I166" i="191"/>
  <c r="I148" i="191"/>
  <c r="I152" i="191"/>
  <c r="I165" i="191"/>
  <c r="I65" i="191" s="1"/>
  <c r="I183" i="191"/>
  <c r="I81" i="191" s="1"/>
  <c r="I122" i="191"/>
  <c r="I146" i="191"/>
  <c r="I76" i="191" s="1"/>
  <c r="I181" i="191"/>
  <c r="I154" i="191"/>
  <c r="I142" i="191"/>
  <c r="I60" i="191" s="1"/>
  <c r="G107" i="187"/>
  <c r="H23" i="189"/>
  <c r="H24" i="189" s="1"/>
  <c r="G72" i="187" s="1"/>
  <c r="H35" i="189"/>
  <c r="G86" i="187" s="1"/>
  <c r="H60" i="189"/>
  <c r="H61" i="189" s="1"/>
  <c r="L82" i="188"/>
  <c r="K83" i="188"/>
  <c r="I85" i="188"/>
  <c r="I47" i="188"/>
  <c r="F30" i="187" s="1"/>
  <c r="I28" i="188"/>
  <c r="F23" i="187" s="1"/>
  <c r="I75" i="188"/>
  <c r="F54" i="187" s="1"/>
  <c r="I90" i="188"/>
  <c r="F60" i="187" s="1"/>
  <c r="I210" i="188"/>
  <c r="F124" i="187" s="1"/>
  <c r="I207" i="188"/>
  <c r="F120" i="187" s="1"/>
  <c r="I206" i="188"/>
  <c r="F119" i="187" s="1"/>
  <c r="I205" i="188"/>
  <c r="F118" i="187" s="1"/>
  <c r="I204" i="188"/>
  <c r="F117" i="187" s="1"/>
  <c r="I202" i="188"/>
  <c r="F115" i="187" s="1"/>
  <c r="I201" i="188"/>
  <c r="F114" i="187" s="1"/>
  <c r="I200" i="188"/>
  <c r="F113" i="187" s="1"/>
  <c r="I199" i="188"/>
  <c r="F112" i="187" s="1"/>
  <c r="I198" i="188"/>
  <c r="F111" i="187" s="1"/>
  <c r="I191" i="188"/>
  <c r="I195" i="188"/>
  <c r="F107" i="187" s="1"/>
  <c r="I194" i="188"/>
  <c r="F106" i="187" s="1"/>
  <c r="I193" i="188"/>
  <c r="F105" i="187" s="1"/>
  <c r="I183" i="188"/>
  <c r="D178" i="188"/>
  <c r="I178" i="188" s="1"/>
  <c r="F99" i="187" s="1"/>
  <c r="I176" i="188"/>
  <c r="I163" i="188"/>
  <c r="I165" i="188"/>
  <c r="I126" i="188"/>
  <c r="F74" i="187" s="1"/>
  <c r="D125" i="188"/>
  <c r="I125" i="188" s="1"/>
  <c r="F73" i="187" s="1"/>
  <c r="D124" i="188"/>
  <c r="I124" i="188" s="1"/>
  <c r="F72" i="187" s="1"/>
  <c r="I123" i="188"/>
  <c r="F71" i="187" s="1"/>
  <c r="I122" i="188"/>
  <c r="F70" i="187" s="1"/>
  <c r="I121" i="188"/>
  <c r="F69" i="187" s="1"/>
  <c r="I117" i="188"/>
  <c r="I118" i="188" s="1"/>
  <c r="I104" i="188"/>
  <c r="I98" i="188"/>
  <c r="I97" i="188"/>
  <c r="I78" i="188"/>
  <c r="F58" i="187" s="1"/>
  <c r="I69" i="188"/>
  <c r="F52" i="187" s="1"/>
  <c r="I68" i="188"/>
  <c r="F51" i="187" s="1"/>
  <c r="I66" i="188"/>
  <c r="F49" i="187" s="1"/>
  <c r="I64" i="188"/>
  <c r="F47" i="187" s="1"/>
  <c r="I61" i="188"/>
  <c r="F44" i="187" s="1"/>
  <c r="I58" i="188"/>
  <c r="F41" i="187" s="1"/>
  <c r="I62" i="188"/>
  <c r="F45" i="187" s="1"/>
  <c r="I57" i="188"/>
  <c r="F40" i="187" s="1"/>
  <c r="I55" i="188"/>
  <c r="F38" i="187" s="1"/>
  <c r="I53" i="188"/>
  <c r="F36" i="187" s="1"/>
  <c r="I50" i="188"/>
  <c r="F33" i="187" s="1"/>
  <c r="I49" i="188"/>
  <c r="F32" i="187" s="1"/>
  <c r="I106" i="188"/>
  <c r="I93" i="188"/>
  <c r="I54" i="188"/>
  <c r="F37" i="187" s="1"/>
  <c r="I48" i="188"/>
  <c r="F31" i="187" s="1"/>
  <c r="I35" i="188"/>
  <c r="I32" i="188"/>
  <c r="I20" i="188"/>
  <c r="F17" i="187"/>
  <c r="I16" i="188"/>
  <c r="F16" i="187" s="1"/>
  <c r="I15" i="188"/>
  <c r="I21" i="188"/>
  <c r="L17" i="187"/>
  <c r="K47" i="187"/>
  <c r="L65" i="187"/>
  <c r="L16" i="187"/>
  <c r="H44" i="189"/>
  <c r="H48" i="189"/>
  <c r="H47" i="189"/>
  <c r="H46" i="189"/>
  <c r="H45" i="189"/>
  <c r="H41" i="189"/>
  <c r="I82" i="191" l="1"/>
  <c r="I59" i="191"/>
  <c r="I40" i="191"/>
  <c r="I46" i="191"/>
  <c r="I63" i="191"/>
  <c r="I50" i="191"/>
  <c r="I24" i="191"/>
  <c r="I31" i="191"/>
  <c r="I22" i="191"/>
  <c r="I37" i="191"/>
  <c r="I29" i="191"/>
  <c r="I74" i="191"/>
  <c r="I58" i="191"/>
  <c r="I70" i="191"/>
  <c r="I68" i="191"/>
  <c r="I73" i="191"/>
  <c r="I75" i="191"/>
  <c r="I87" i="191"/>
  <c r="I39" i="191"/>
  <c r="I66" i="191"/>
  <c r="I88" i="191"/>
  <c r="I79" i="191"/>
  <c r="I72" i="191"/>
  <c r="I56" i="191"/>
  <c r="I69" i="191"/>
  <c r="I43" i="191"/>
  <c r="I41" i="191"/>
  <c r="I15" i="191"/>
  <c r="I27" i="191"/>
  <c r="I192" i="191"/>
  <c r="J139" i="191" s="1"/>
  <c r="I48" i="191"/>
  <c r="I51" i="191"/>
  <c r="I17" i="191"/>
  <c r="I86" i="191"/>
  <c r="I21" i="191"/>
  <c r="I85" i="191"/>
  <c r="I83" i="191"/>
  <c r="I49" i="191"/>
  <c r="I77" i="191"/>
  <c r="I84" i="191"/>
  <c r="I78" i="191"/>
  <c r="I64" i="191"/>
  <c r="I44" i="191"/>
  <c r="I26" i="191"/>
  <c r="I19" i="191"/>
  <c r="I55" i="191"/>
  <c r="I30" i="191"/>
  <c r="I14" i="191"/>
  <c r="G106" i="187"/>
  <c r="I105" i="188"/>
  <c r="F64" i="187" s="1"/>
  <c r="G37" i="188"/>
  <c r="I37" i="188" s="1"/>
  <c r="F25" i="187" s="1"/>
  <c r="I36" i="188"/>
  <c r="F24" i="187" s="1"/>
  <c r="I192" i="188"/>
  <c r="F104" i="187" s="1"/>
  <c r="I184" i="188"/>
  <c r="F100" i="187" s="1"/>
  <c r="I177" i="188"/>
  <c r="F98" i="187" s="1"/>
  <c r="I164" i="188"/>
  <c r="F97" i="187" s="1"/>
  <c r="F65" i="187"/>
  <c r="J29" i="188"/>
  <c r="K29" i="188" s="1"/>
  <c r="H49" i="189"/>
  <c r="H42" i="189"/>
  <c r="L4" i="187"/>
  <c r="L7" i="187"/>
  <c r="L6" i="187" s="1"/>
  <c r="L5" i="187" s="1"/>
  <c r="L9" i="187"/>
  <c r="L10" i="187"/>
  <c r="I90" i="191" l="1"/>
  <c r="G10" i="191" s="1"/>
  <c r="J153" i="191"/>
  <c r="J126" i="191"/>
  <c r="J188" i="191"/>
  <c r="J167" i="191"/>
  <c r="J177" i="191"/>
  <c r="J161" i="191"/>
  <c r="J124" i="191"/>
  <c r="J121" i="191"/>
  <c r="J152" i="191"/>
  <c r="J144" i="191"/>
  <c r="J178" i="191"/>
  <c r="J175" i="191"/>
  <c r="J154" i="191"/>
  <c r="J181" i="191"/>
  <c r="J122" i="191"/>
  <c r="J184" i="191"/>
  <c r="J137" i="191"/>
  <c r="J165" i="191"/>
  <c r="J170" i="191"/>
  <c r="J180" i="191"/>
  <c r="J183" i="191"/>
  <c r="J81" i="191" s="1"/>
  <c r="J146" i="191"/>
  <c r="J149" i="191"/>
  <c r="J135" i="191"/>
  <c r="J157" i="191"/>
  <c r="J123" i="191"/>
  <c r="J155" i="191"/>
  <c r="J140" i="191"/>
  <c r="J179" i="191"/>
  <c r="J182" i="191"/>
  <c r="J158" i="191"/>
  <c r="J168" i="191"/>
  <c r="J143" i="191"/>
  <c r="J128" i="191"/>
  <c r="J120" i="191"/>
  <c r="J185" i="191"/>
  <c r="J131" i="191"/>
  <c r="J116" i="191"/>
  <c r="J169" i="191"/>
  <c r="J164" i="191"/>
  <c r="J150" i="191"/>
  <c r="J130" i="191"/>
  <c r="J134" i="191"/>
  <c r="J163" i="191"/>
  <c r="J172" i="191"/>
  <c r="J127" i="191"/>
  <c r="J138" i="191"/>
  <c r="J125" i="191"/>
  <c r="J132" i="191"/>
  <c r="J133" i="191"/>
  <c r="J190" i="191"/>
  <c r="J151" i="191"/>
  <c r="J173" i="191"/>
  <c r="J171" i="191"/>
  <c r="J186" i="191"/>
  <c r="J176" i="191"/>
  <c r="J160" i="191"/>
  <c r="J189" i="191"/>
  <c r="J118" i="191"/>
  <c r="J136" i="191"/>
  <c r="J174" i="191"/>
  <c r="J159" i="191"/>
  <c r="J119" i="191"/>
  <c r="J141" i="191"/>
  <c r="J191" i="191"/>
  <c r="J145" i="191"/>
  <c r="J187" i="191"/>
  <c r="J156" i="191"/>
  <c r="J162" i="191"/>
  <c r="J147" i="191"/>
  <c r="J129" i="191"/>
  <c r="J148" i="191"/>
  <c r="J166" i="191"/>
  <c r="J117" i="191"/>
  <c r="J142" i="191"/>
  <c r="F59" i="187"/>
  <c r="H50" i="189"/>
  <c r="G105" i="187" s="1"/>
  <c r="J24" i="191" l="1"/>
  <c r="J49" i="191"/>
  <c r="J46" i="191"/>
  <c r="J83" i="191"/>
  <c r="J72" i="191"/>
  <c r="J85" i="191"/>
  <c r="J68" i="191"/>
  <c r="J47" i="191"/>
  <c r="J15" i="191"/>
  <c r="J67" i="191"/>
  <c r="J89" i="191"/>
  <c r="J34" i="191"/>
  <c r="J48" i="191"/>
  <c r="J79" i="191"/>
  <c r="J23" i="191"/>
  <c r="J65" i="191"/>
  <c r="J60" i="191"/>
  <c r="J84" i="191"/>
  <c r="J77" i="191"/>
  <c r="J39" i="191"/>
  <c r="J73" i="191"/>
  <c r="J32" i="191"/>
  <c r="J26" i="191"/>
  <c r="J55" i="191"/>
  <c r="J43" i="191"/>
  <c r="J53" i="191"/>
  <c r="J28" i="191"/>
  <c r="J21" i="191"/>
  <c r="J22" i="191"/>
  <c r="J87" i="191"/>
  <c r="J33" i="191"/>
  <c r="J69" i="191"/>
  <c r="J78" i="191"/>
  <c r="J35" i="191"/>
  <c r="J80" i="191"/>
  <c r="J50" i="191"/>
  <c r="J71" i="191"/>
  <c r="J30" i="191"/>
  <c r="J18" i="191"/>
  <c r="J41" i="191"/>
  <c r="J70" i="191"/>
  <c r="J31" i="191"/>
  <c r="J58" i="191"/>
  <c r="J76" i="191"/>
  <c r="J82" i="191"/>
  <c r="J27" i="191"/>
  <c r="J29" i="191"/>
  <c r="J66" i="191"/>
  <c r="J44" i="191"/>
  <c r="J17" i="191"/>
  <c r="J38" i="191"/>
  <c r="J61" i="191"/>
  <c r="J54" i="191"/>
  <c r="J57" i="191"/>
  <c r="J19" i="191"/>
  <c r="J63" i="191"/>
  <c r="J74" i="191"/>
  <c r="J51" i="191"/>
  <c r="J25" i="191"/>
  <c r="J64" i="191"/>
  <c r="J86" i="191"/>
  <c r="J52" i="191"/>
  <c r="J59" i="191"/>
  <c r="J75" i="191"/>
  <c r="J42" i="191"/>
  <c r="J62" i="191"/>
  <c r="J36" i="191"/>
  <c r="J88" i="191"/>
  <c r="J37" i="191"/>
  <c r="J16" i="191"/>
  <c r="J40" i="191"/>
  <c r="J20" i="191"/>
  <c r="J45" i="191"/>
  <c r="J56" i="191"/>
  <c r="J14" i="191"/>
  <c r="K14" i="191" s="1"/>
  <c r="L14" i="191" s="1"/>
  <c r="F22" i="187"/>
  <c r="K15" i="191" l="1"/>
  <c r="L15" i="191" s="1"/>
  <c r="F21" i="187"/>
  <c r="K16" i="191" l="1"/>
  <c r="L16" i="191" s="1"/>
  <c r="C19" i="185"/>
  <c r="C25" i="185" s="1"/>
  <c r="K17" i="191" l="1"/>
  <c r="L17" i="191" s="1"/>
  <c r="D11" i="189"/>
  <c r="E10" i="187"/>
  <c r="K3" i="189"/>
  <c r="K18" i="191" l="1"/>
  <c r="L18" i="191" s="1"/>
  <c r="I79" i="187"/>
  <c r="I94" i="187" s="1"/>
  <c r="I83" i="187"/>
  <c r="I81" i="187"/>
  <c r="I80" i="187"/>
  <c r="H117" i="187"/>
  <c r="I117" i="187" s="1"/>
  <c r="I82" i="187"/>
  <c r="H32" i="187"/>
  <c r="I32" i="187" s="1"/>
  <c r="H48" i="187"/>
  <c r="I48" i="187" s="1"/>
  <c r="H50" i="187"/>
  <c r="I50" i="187" s="1"/>
  <c r="H42" i="187"/>
  <c r="I42" i="187" s="1"/>
  <c r="H43" i="187"/>
  <c r="I43" i="187" s="1"/>
  <c r="H35" i="187"/>
  <c r="I35" i="187" s="1"/>
  <c r="H34" i="187"/>
  <c r="I34" i="187" s="1"/>
  <c r="H91" i="187"/>
  <c r="I91" i="187" s="1"/>
  <c r="H92" i="187"/>
  <c r="I92" i="187" s="1"/>
  <c r="H93" i="187"/>
  <c r="I93" i="187" s="1"/>
  <c r="H86" i="187"/>
  <c r="I86" i="187" s="1"/>
  <c r="H90" i="187"/>
  <c r="I90" i="187" s="1"/>
  <c r="H89" i="187"/>
  <c r="I89" i="187" s="1"/>
  <c r="H88" i="187"/>
  <c r="I88" i="187" s="1"/>
  <c r="H87" i="187"/>
  <c r="I87" i="187" s="1"/>
  <c r="H60" i="187"/>
  <c r="I60" i="187" s="1"/>
  <c r="H85" i="187"/>
  <c r="I85" i="187" s="1"/>
  <c r="H84" i="187"/>
  <c r="I84" i="187" s="1"/>
  <c r="H78" i="187"/>
  <c r="I78" i="187" s="1"/>
  <c r="H70" i="187"/>
  <c r="I70" i="187" s="1"/>
  <c r="H120" i="187"/>
  <c r="I120" i="187" s="1"/>
  <c r="H25" i="187"/>
  <c r="I25" i="187" s="1"/>
  <c r="H71" i="187"/>
  <c r="I71" i="187" s="1"/>
  <c r="H17" i="187"/>
  <c r="I17" i="187" s="1"/>
  <c r="H15" i="187"/>
  <c r="H107" i="187"/>
  <c r="I107" i="187" s="1"/>
  <c r="H115" i="187"/>
  <c r="I115" i="187" s="1"/>
  <c r="H116" i="187"/>
  <c r="I116" i="187" s="1"/>
  <c r="H118" i="187"/>
  <c r="I118" i="187" s="1"/>
  <c r="H74" i="187"/>
  <c r="I74" i="187" s="1"/>
  <c r="H59" i="187"/>
  <c r="I59" i="187" s="1"/>
  <c r="H72" i="187"/>
  <c r="I72" i="187" s="1"/>
  <c r="H73" i="187"/>
  <c r="I73" i="187" s="1"/>
  <c r="H45" i="187"/>
  <c r="I45" i="187" s="1"/>
  <c r="H52" i="187"/>
  <c r="I52" i="187" s="1"/>
  <c r="H37" i="187"/>
  <c r="I37" i="187" s="1"/>
  <c r="H38" i="187"/>
  <c r="I38" i="187" s="1"/>
  <c r="H33" i="187"/>
  <c r="I33" i="187" s="1"/>
  <c r="H36" i="187"/>
  <c r="I36" i="187" s="1"/>
  <c r="H54" i="187"/>
  <c r="I54" i="187" s="1"/>
  <c r="I53" i="187" s="1"/>
  <c r="H51" i="187"/>
  <c r="I51" i="187" s="1"/>
  <c r="H49" i="187"/>
  <c r="I49" i="187" s="1"/>
  <c r="H47" i="187"/>
  <c r="I47" i="187" s="1"/>
  <c r="H44" i="187"/>
  <c r="I44" i="187" s="1"/>
  <c r="H40" i="187"/>
  <c r="I40" i="187" s="1"/>
  <c r="H41" i="187"/>
  <c r="I41" i="187" s="1"/>
  <c r="H64" i="187"/>
  <c r="I64" i="187" s="1"/>
  <c r="H65" i="187"/>
  <c r="I65" i="187" s="1"/>
  <c r="H100" i="187"/>
  <c r="I100" i="187" s="1"/>
  <c r="H99" i="187"/>
  <c r="I99" i="187" s="1"/>
  <c r="H98" i="187"/>
  <c r="I98" i="187" s="1"/>
  <c r="H97" i="187"/>
  <c r="I97" i="187" s="1"/>
  <c r="H124" i="187"/>
  <c r="I124" i="187" s="1"/>
  <c r="I125" i="187" s="1"/>
  <c r="H69" i="187"/>
  <c r="I69" i="187" s="1"/>
  <c r="H58" i="187"/>
  <c r="I58" i="187" s="1"/>
  <c r="H119" i="187"/>
  <c r="I119" i="187" s="1"/>
  <c r="H16" i="187"/>
  <c r="I16" i="187" s="1"/>
  <c r="H111" i="187"/>
  <c r="I111" i="187" s="1"/>
  <c r="H114" i="187"/>
  <c r="I114" i="187" s="1"/>
  <c r="H113" i="187"/>
  <c r="I113" i="187" s="1"/>
  <c r="H112" i="187"/>
  <c r="I112" i="187" s="1"/>
  <c r="H106" i="187"/>
  <c r="I106" i="187" s="1"/>
  <c r="H105" i="187"/>
  <c r="I105" i="187" s="1"/>
  <c r="H24" i="187"/>
  <c r="I24" i="187" s="1"/>
  <c r="H31" i="187"/>
  <c r="I31" i="187" s="1"/>
  <c r="H30" i="187"/>
  <c r="I30" i="187" s="1"/>
  <c r="H22" i="187"/>
  <c r="I22" i="187" s="1"/>
  <c r="H21" i="187"/>
  <c r="I21" i="187" s="1"/>
  <c r="H23" i="187"/>
  <c r="H104" i="187"/>
  <c r="I104" i="187" s="1"/>
  <c r="K19" i="191" l="1"/>
  <c r="L19" i="191" s="1"/>
  <c r="I66" i="187"/>
  <c r="I121" i="187"/>
  <c r="C35" i="190" s="1"/>
  <c r="I108" i="187"/>
  <c r="I101" i="187"/>
  <c r="C31" i="190" s="1"/>
  <c r="I75" i="187"/>
  <c r="C27" i="190" s="1"/>
  <c r="I61" i="187"/>
  <c r="I46" i="187"/>
  <c r="I39" i="187"/>
  <c r="I29" i="187"/>
  <c r="C37" i="190"/>
  <c r="L71" i="187"/>
  <c r="C25" i="190"/>
  <c r="I23" i="187"/>
  <c r="I26" i="187" s="1"/>
  <c r="I127" i="187" l="1"/>
  <c r="K20" i="191"/>
  <c r="K21" i="191" s="1"/>
  <c r="H38" i="190"/>
  <c r="K38" i="190"/>
  <c r="J38" i="190"/>
  <c r="I38" i="190"/>
  <c r="J36" i="190"/>
  <c r="I36" i="190"/>
  <c r="K36" i="190"/>
  <c r="F32" i="190"/>
  <c r="K32" i="190"/>
  <c r="J32" i="190"/>
  <c r="I32" i="190"/>
  <c r="K28" i="190"/>
  <c r="J28" i="190"/>
  <c r="I28" i="190"/>
  <c r="K26" i="190"/>
  <c r="I26" i="190"/>
  <c r="J26" i="190"/>
  <c r="I55" i="187"/>
  <c r="C21" i="190" s="1"/>
  <c r="C19" i="190"/>
  <c r="K20" i="190" s="1"/>
  <c r="E32" i="190"/>
  <c r="E38" i="190"/>
  <c r="G38" i="190"/>
  <c r="F38" i="190"/>
  <c r="H32" i="190"/>
  <c r="G32" i="190"/>
  <c r="I77" i="187"/>
  <c r="C29" i="190" s="1"/>
  <c r="I57" i="187"/>
  <c r="C23" i="190"/>
  <c r="G28" i="190"/>
  <c r="H28" i="190"/>
  <c r="E28" i="190"/>
  <c r="F28" i="190"/>
  <c r="H36" i="190"/>
  <c r="E36" i="190"/>
  <c r="F36" i="190"/>
  <c r="G36" i="190"/>
  <c r="G20" i="190"/>
  <c r="G26" i="190"/>
  <c r="E26" i="190"/>
  <c r="F26" i="190"/>
  <c r="H26" i="190"/>
  <c r="C33" i="190"/>
  <c r="I103" i="187"/>
  <c r="I20" i="187"/>
  <c r="I63" i="187"/>
  <c r="I96" i="187"/>
  <c r="I123" i="187"/>
  <c r="I68" i="187"/>
  <c r="I110" i="187"/>
  <c r="L20" i="191" l="1"/>
  <c r="H20" i="190"/>
  <c r="F20" i="190"/>
  <c r="E20" i="190"/>
  <c r="K22" i="191"/>
  <c r="L21" i="191"/>
  <c r="E30" i="190"/>
  <c r="H30" i="190"/>
  <c r="K30" i="190"/>
  <c r="G30" i="190"/>
  <c r="F30" i="190"/>
  <c r="J30" i="190"/>
  <c r="I30" i="190"/>
  <c r="J34" i="190"/>
  <c r="I34" i="190"/>
  <c r="K34" i="190"/>
  <c r="K24" i="190"/>
  <c r="J24" i="190"/>
  <c r="I24" i="190"/>
  <c r="K22" i="190"/>
  <c r="J22" i="190"/>
  <c r="I22" i="190"/>
  <c r="J20" i="190"/>
  <c r="I20" i="190"/>
  <c r="E22" i="190"/>
  <c r="G22" i="190"/>
  <c r="H22" i="190"/>
  <c r="F22" i="190"/>
  <c r="H24" i="190"/>
  <c r="E24" i="190"/>
  <c r="F24" i="190"/>
  <c r="G24" i="190"/>
  <c r="H34" i="190"/>
  <c r="F34" i="190"/>
  <c r="G34" i="190"/>
  <c r="E34" i="190"/>
  <c r="F15" i="187"/>
  <c r="I15" i="187" s="1"/>
  <c r="L22" i="191" l="1"/>
  <c r="K23" i="191"/>
  <c r="I18" i="187"/>
  <c r="J79" i="187" l="1"/>
  <c r="J83" i="187"/>
  <c r="J81" i="187"/>
  <c r="J80" i="187"/>
  <c r="J94" i="187"/>
  <c r="J82" i="187"/>
  <c r="K24" i="191"/>
  <c r="L23" i="191"/>
  <c r="I14" i="187"/>
  <c r="J14" i="187" s="1"/>
  <c r="J117" i="187"/>
  <c r="C17" i="190"/>
  <c r="I18" i="190" s="1"/>
  <c r="I40" i="190" s="1"/>
  <c r="C40" i="190"/>
  <c r="K18" i="190"/>
  <c r="K40" i="190" s="1"/>
  <c r="J18" i="190"/>
  <c r="J40" i="190" s="1"/>
  <c r="J48" i="187"/>
  <c r="J50" i="187"/>
  <c r="J42" i="187"/>
  <c r="J43" i="187"/>
  <c r="J35" i="187"/>
  <c r="J34" i="187"/>
  <c r="J93" i="187"/>
  <c r="J92" i="187"/>
  <c r="J91" i="187"/>
  <c r="J86" i="187"/>
  <c r="J87" i="187"/>
  <c r="J88" i="187"/>
  <c r="J90" i="187"/>
  <c r="J89" i="187"/>
  <c r="J78" i="187"/>
  <c r="J85" i="187"/>
  <c r="J84" i="187"/>
  <c r="J77" i="187"/>
  <c r="J120" i="187"/>
  <c r="J60" i="187"/>
  <c r="J71" i="187"/>
  <c r="J70" i="187"/>
  <c r="J103" i="187"/>
  <c r="J108" i="187"/>
  <c r="J63" i="187"/>
  <c r="J54" i="187"/>
  <c r="J115" i="187"/>
  <c r="J61" i="187"/>
  <c r="J65" i="187"/>
  <c r="J15" i="187"/>
  <c r="J23" i="187"/>
  <c r="J26" i="187"/>
  <c r="J119" i="187"/>
  <c r="J104" i="187"/>
  <c r="J106" i="187"/>
  <c r="J38" i="187"/>
  <c r="J101" i="187"/>
  <c r="J49" i="187"/>
  <c r="J36" i="187"/>
  <c r="J33" i="187"/>
  <c r="J47" i="187"/>
  <c r="J105" i="187"/>
  <c r="J40" i="187"/>
  <c r="J64" i="187"/>
  <c r="J111" i="187"/>
  <c r="J20" i="187"/>
  <c r="J16" i="187"/>
  <c r="J37" i="187"/>
  <c r="J99" i="187"/>
  <c r="J75" i="187"/>
  <c r="J53" i="187"/>
  <c r="J69" i="187"/>
  <c r="J121" i="187"/>
  <c r="J24" i="187"/>
  <c r="J110" i="187"/>
  <c r="J57" i="187"/>
  <c r="J68" i="187"/>
  <c r="J113" i="187"/>
  <c r="J52" i="187"/>
  <c r="J66" i="187"/>
  <c r="J112" i="187"/>
  <c r="J21" i="187"/>
  <c r="J45" i="187"/>
  <c r="J41" i="187"/>
  <c r="J72" i="187"/>
  <c r="J123" i="187"/>
  <c r="J22" i="187"/>
  <c r="J107" i="187"/>
  <c r="J17" i="187"/>
  <c r="J73" i="187"/>
  <c r="J29" i="187"/>
  <c r="J124" i="187"/>
  <c r="J46" i="187"/>
  <c r="J25" i="187"/>
  <c r="J32" i="187"/>
  <c r="J58" i="187"/>
  <c r="J44" i="187"/>
  <c r="J125" i="187"/>
  <c r="J74" i="187"/>
  <c r="J39" i="187"/>
  <c r="J51" i="187"/>
  <c r="J59" i="187"/>
  <c r="J118" i="187"/>
  <c r="J100" i="187"/>
  <c r="J30" i="187"/>
  <c r="J31" i="187"/>
  <c r="J114" i="187"/>
  <c r="J96" i="187"/>
  <c r="G10" i="187"/>
  <c r="J116" i="187"/>
  <c r="J97" i="187"/>
  <c r="J98" i="187"/>
  <c r="J18" i="187"/>
  <c r="D29" i="190" l="1"/>
  <c r="C50" i="190"/>
  <c r="K25" i="191"/>
  <c r="L24" i="191"/>
  <c r="K41" i="190"/>
  <c r="J41" i="190"/>
  <c r="G18" i="190"/>
  <c r="G40" i="190" s="1"/>
  <c r="G41" i="190" s="1"/>
  <c r="H18" i="190"/>
  <c r="H40" i="190" s="1"/>
  <c r="H41" i="190" s="1"/>
  <c r="E18" i="190"/>
  <c r="E40" i="190" s="1"/>
  <c r="E41" i="190" s="1"/>
  <c r="F18" i="190"/>
  <c r="F40" i="190" s="1"/>
  <c r="F41" i="190" s="1"/>
  <c r="I41" i="190"/>
  <c r="M19" i="187"/>
  <c r="J55" i="187"/>
  <c r="J127" i="187" s="1"/>
  <c r="K26" i="191" l="1"/>
  <c r="L25" i="191"/>
  <c r="E42" i="190"/>
  <c r="F42" i="190" s="1"/>
  <c r="G42" i="190" s="1"/>
  <c r="H42" i="190" s="1"/>
  <c r="I42" i="190" s="1"/>
  <c r="J42" i="190" s="1"/>
  <c r="K42" i="190" s="1"/>
  <c r="D35" i="190"/>
  <c r="D37" i="190"/>
  <c r="D25" i="190"/>
  <c r="D27" i="190"/>
  <c r="D33" i="190"/>
  <c r="D31" i="190"/>
  <c r="D21" i="190"/>
  <c r="D19" i="190"/>
  <c r="D23" i="190"/>
  <c r="D17" i="190"/>
  <c r="L26" i="191" l="1"/>
  <c r="K27" i="191"/>
  <c r="D40" i="190"/>
  <c r="L27" i="191" l="1"/>
  <c r="K28" i="191"/>
  <c r="K29" i="191" l="1"/>
  <c r="L28" i="191"/>
  <c r="K30" i="191" l="1"/>
  <c r="L29" i="191"/>
  <c r="L30" i="191" l="1"/>
  <c r="K31" i="191"/>
  <c r="L31" i="191" l="1"/>
  <c r="K32" i="191"/>
  <c r="K33" i="191" l="1"/>
  <c r="L32" i="191"/>
  <c r="K34" i="191" l="1"/>
  <c r="L33" i="191"/>
  <c r="L34" i="191" l="1"/>
  <c r="K35" i="191"/>
  <c r="K36" i="191" l="1"/>
  <c r="L35" i="191"/>
  <c r="L36" i="191" l="1"/>
  <c r="K37" i="191"/>
  <c r="K38" i="191" l="1"/>
  <c r="L37" i="191"/>
  <c r="L38" i="191" l="1"/>
  <c r="K39" i="191"/>
  <c r="K40" i="191" l="1"/>
  <c r="L39" i="191"/>
  <c r="L40" i="191" l="1"/>
  <c r="K41" i="191"/>
  <c r="K42" i="191" l="1"/>
  <c r="L41" i="191"/>
  <c r="K43" i="191" l="1"/>
  <c r="L42" i="191"/>
  <c r="K44" i="191" l="1"/>
  <c r="L43" i="191"/>
  <c r="K45" i="191" l="1"/>
  <c r="L44" i="191"/>
  <c r="K46" i="191" l="1"/>
  <c r="L45" i="191"/>
  <c r="L46" i="191" l="1"/>
  <c r="K47" i="191"/>
  <c r="L47" i="191" l="1"/>
  <c r="K48" i="191"/>
  <c r="K49" i="191" l="1"/>
  <c r="L48" i="191"/>
  <c r="L49" i="191" l="1"/>
  <c r="K50" i="191"/>
  <c r="K51" i="191" l="1"/>
  <c r="L50" i="191"/>
  <c r="L51" i="191" l="1"/>
  <c r="K52" i="191"/>
  <c r="L52" i="191" l="1"/>
  <c r="K53" i="191"/>
  <c r="L53" i="191" l="1"/>
  <c r="K54" i="191"/>
  <c r="L54" i="191" l="1"/>
  <c r="K55" i="191"/>
  <c r="L55" i="191" l="1"/>
  <c r="K56" i="191"/>
  <c r="K57" i="191" l="1"/>
  <c r="L56" i="191"/>
  <c r="L57" i="191" l="1"/>
  <c r="K58" i="191"/>
  <c r="L58" i="191" l="1"/>
  <c r="K59" i="191"/>
  <c r="K60" i="191" l="1"/>
  <c r="L59" i="191"/>
  <c r="L60" i="191" l="1"/>
  <c r="K61" i="191"/>
  <c r="L61" i="191" l="1"/>
  <c r="K62" i="191"/>
  <c r="K63" i="191" l="1"/>
  <c r="L62" i="191"/>
  <c r="L63" i="191" l="1"/>
  <c r="K64" i="191"/>
  <c r="L64" i="191" l="1"/>
  <c r="K65" i="191"/>
  <c r="K66" i="191" l="1"/>
  <c r="L65" i="191"/>
  <c r="L66" i="191" l="1"/>
  <c r="K67" i="191"/>
  <c r="K68" i="191" l="1"/>
  <c r="L67" i="191"/>
  <c r="K69" i="191" l="1"/>
  <c r="L68" i="191"/>
  <c r="L69" i="191" l="1"/>
  <c r="K70" i="191"/>
  <c r="L70" i="191" l="1"/>
  <c r="K71" i="191"/>
  <c r="K72" i="191" l="1"/>
  <c r="L71" i="191"/>
  <c r="K73" i="191" l="1"/>
  <c r="L72" i="191"/>
  <c r="L73" i="191" l="1"/>
  <c r="K74" i="191"/>
  <c r="L74" i="191" l="1"/>
  <c r="K75" i="191"/>
  <c r="K76" i="191" l="1"/>
  <c r="L75" i="191"/>
  <c r="L76" i="191" l="1"/>
  <c r="K77" i="191"/>
  <c r="L77" i="191" l="1"/>
  <c r="K78" i="191"/>
  <c r="K79" i="191" l="1"/>
  <c r="K80" i="191" s="1"/>
  <c r="K81" i="191" s="1"/>
  <c r="K82" i="191" s="1"/>
  <c r="K83" i="191" s="1"/>
  <c r="K84" i="191" s="1"/>
  <c r="K85" i="191" s="1"/>
  <c r="K86" i="191" s="1"/>
  <c r="K87" i="191" s="1"/>
  <c r="K88" i="191" s="1"/>
  <c r="K89" i="191" s="1"/>
  <c r="L78" i="191"/>
  <c r="L79" i="191" l="1"/>
  <c r="L85" i="191" l="1"/>
  <c r="L86" i="191" l="1"/>
  <c r="L87" i="191" l="1"/>
  <c r="L88" i="191" l="1"/>
  <c r="L89" i="191" l="1"/>
</calcChain>
</file>

<file path=xl/sharedStrings.xml><?xml version="1.0" encoding="utf-8"?>
<sst xmlns="http://schemas.openxmlformats.org/spreadsheetml/2006/main" count="1339" uniqueCount="366">
  <si>
    <t>ITEM</t>
  </si>
  <si>
    <t>m</t>
  </si>
  <si>
    <t>m²</t>
  </si>
  <si>
    <t>1.1</t>
  </si>
  <si>
    <t>1.2</t>
  </si>
  <si>
    <t>2.1</t>
  </si>
  <si>
    <t>2.2</t>
  </si>
  <si>
    <t>4.1</t>
  </si>
  <si>
    <t>4.2</t>
  </si>
  <si>
    <t>5.1</t>
  </si>
  <si>
    <t>m³</t>
  </si>
  <si>
    <t>1.3</t>
  </si>
  <si>
    <t>1.4</t>
  </si>
  <si>
    <t>SINAPI</t>
  </si>
  <si>
    <t>CÓDIGO</t>
  </si>
  <si>
    <t>1.5</t>
  </si>
  <si>
    <t>kg</t>
  </si>
  <si>
    <t>5.2</t>
  </si>
  <si>
    <t>T</t>
  </si>
  <si>
    <t>OBRA:</t>
  </si>
  <si>
    <t>DATA:</t>
  </si>
  <si>
    <t>1.0</t>
  </si>
  <si>
    <t>Administração central</t>
  </si>
  <si>
    <t>Seguros+Garantia</t>
  </si>
  <si>
    <t>Risco</t>
  </si>
  <si>
    <t>Lucro</t>
  </si>
  <si>
    <t>Despesa Financeira</t>
  </si>
  <si>
    <t>Tributos sobre a receita</t>
  </si>
  <si>
    <t>1.5.1</t>
  </si>
  <si>
    <t>ISS (*)</t>
  </si>
  <si>
    <t>1.5.2</t>
  </si>
  <si>
    <t>COFINS</t>
  </si>
  <si>
    <t>1.5.3</t>
  </si>
  <si>
    <t>PIS</t>
  </si>
  <si>
    <t>1.5.4</t>
  </si>
  <si>
    <t>INSS (DESONERAÇÃO)</t>
  </si>
  <si>
    <t>BDI</t>
  </si>
  <si>
    <t>AC</t>
  </si>
  <si>
    <t>S+G</t>
  </si>
  <si>
    <t>R</t>
  </si>
  <si>
    <t>L</t>
  </si>
  <si>
    <t>DF</t>
  </si>
  <si>
    <t>T1</t>
  </si>
  <si>
    <t>T2</t>
  </si>
  <si>
    <t>T3</t>
  </si>
  <si>
    <t>T4</t>
  </si>
  <si>
    <t>CÁLCULO DO BDI: {[(1+AC+R+S+G)x(1+DF)x(1+L)]/(1-T)}-1</t>
  </si>
  <si>
    <t>EQUIPAMENTOS</t>
  </si>
  <si>
    <t>Unidade</t>
  </si>
  <si>
    <t>Coeficiente</t>
  </si>
  <si>
    <t>Preço</t>
  </si>
  <si>
    <t>Total</t>
  </si>
  <si>
    <t>MAO DE OBRA</t>
  </si>
  <si>
    <t>Total:</t>
  </si>
  <si>
    <t>COMP 01</t>
  </si>
  <si>
    <t>PREFEITURA MUNICIPAL DE AFRÂNIO</t>
  </si>
  <si>
    <t>Programa</t>
  </si>
  <si>
    <t>Empreendimento</t>
  </si>
  <si>
    <t>Agente Financeiro</t>
  </si>
  <si>
    <t>Proponente</t>
  </si>
  <si>
    <t>Localização</t>
  </si>
  <si>
    <t>Valor total</t>
  </si>
  <si>
    <t>Base de preços e serviços</t>
  </si>
  <si>
    <t>Planilha Orçamentária</t>
  </si>
  <si>
    <t>%</t>
  </si>
  <si>
    <t>REFERÊNCIA</t>
  </si>
  <si>
    <t>DISCRIMINAÇÃO DOS SERVIÇOS</t>
  </si>
  <si>
    <t>UNIDADE</t>
  </si>
  <si>
    <t>QNTD.</t>
  </si>
  <si>
    <t>PREÇO SEM BDI</t>
  </si>
  <si>
    <t>PREÇO COM BDI</t>
  </si>
  <si>
    <t>PREÇO TOTAL</t>
  </si>
  <si>
    <t>TOTAL</t>
  </si>
  <si>
    <t>TOTAL GERAL</t>
  </si>
  <si>
    <t>Memória de Cálculo</t>
  </si>
  <si>
    <t>COMPRIMENTO (m)</t>
  </si>
  <si>
    <t>LARGURA (m)</t>
  </si>
  <si>
    <t>ALTURA/
ESPESSURA (m)</t>
  </si>
  <si>
    <t>QUANTIDADE</t>
  </si>
  <si>
    <t>Composições Unitárias</t>
  </si>
  <si>
    <t>Cronograma Físico - Financeiro</t>
  </si>
  <si>
    <t>MESES CORRIDOS</t>
  </si>
  <si>
    <t>Termo de Compromisso</t>
  </si>
  <si>
    <t>h</t>
  </si>
  <si>
    <t>MATERIAIS</t>
  </si>
  <si>
    <t>DESCRIÇÃO DOS SERVIÇOS</t>
  </si>
  <si>
    <t>VALOR (R$)</t>
  </si>
  <si>
    <t>% ITEM</t>
  </si>
  <si>
    <t>Valores totais</t>
  </si>
  <si>
    <t>Percentuais Mensais</t>
  </si>
  <si>
    <t>Percentuais Acumulados</t>
  </si>
  <si>
    <t>TAXAS</t>
  </si>
  <si>
    <t>BDI (Geral)</t>
  </si>
  <si>
    <t>COMPOSIÇÃO DO BDI (Geral)</t>
  </si>
  <si>
    <t>2.3</t>
  </si>
  <si>
    <t>1.0 SERVIÇOS PRELIMINARES</t>
  </si>
  <si>
    <t>2.4</t>
  </si>
  <si>
    <t>2.5</t>
  </si>
  <si>
    <t>CONCRETAGEM DE SAPATAS, FCK 30 MPA, COM USO DE JERICA  LANÇAMENTO, ADENSAMENTO E ACABAMENTO. AF_06/2017</t>
  </si>
  <si>
    <t>ALVENARIA DE VEDAÇÃO DE BLOCOS CERÂMICOS FURADOS NA HORIZONTAL DE 9X19X19 CM (ESPESSURA 9 CM) E ARGAMASSA DE ASSENTAMENTO COM PREPARO EM BETONEIRA. AF_12/2021</t>
  </si>
  <si>
    <t>APLICAÇÃO MANUAL DE PINTURA COM TINTA TEXTURIZADA ACRÍLICA EM PAREDES EXTERNAS DE CASAS, UMA COR. AF_06/2014</t>
  </si>
  <si>
    <t>4.0 ALAMBRADOS E EQUIPAMENTOS</t>
  </si>
  <si>
    <t>cj</t>
  </si>
  <si>
    <t>und</t>
  </si>
  <si>
    <t>SERRALHEIRO COM ENCARGOS COMPLEMENTARES</t>
  </si>
  <si>
    <t>PINTURA COM TINTA ALQUÍDICA DE FUNDO (TIPO ZARCÃO) APLICADA A ROLO OU PINCEL SOBRE SUPERFÍCIES METÁLICAS (EXCETO PERFIL) EXECUTADO EM OBRA (POR DEMÃO). AF_01/2020</t>
  </si>
  <si>
    <t>PINTURA COM TINTA ALQUÍDICA DE ACABAMENTO (ESMALTE SINTÉTICO BRILHANTE) PULVERIZADA SOBRE SUPERFÍCIES METÁLICAS (EXCETO PERFIL) EXECUTADO EM OBRA  (POR DEMÃO). AF_01/2020_PE</t>
  </si>
  <si>
    <t>FECHADURA DE SOBREPOR PARA PORTAO, EM ACO INOX COM ACABAMENTO CROMADO, CAIXA DE 100 MM, INCLUINDO CHAVE TIPO CILINDRO</t>
  </si>
  <si>
    <t>PORTÃO EM ESTRUTURA DE TUBOS METÁLCOS PINTADOS COM TELA DE PROTEÇÃO EM NYLON 4 MM, MALHA DE 8 CM.</t>
  </si>
  <si>
    <t>CONCRETAGEM DE RADIER, PISO DE CONCRETO OU LAJE SOBRE SOLO, FCK 30 MPA - LANÇAMENTO, ADENSAMENTO E ACABAMENTO. AF_09/2021</t>
  </si>
  <si>
    <t>*Considerando alíquota total sem qualquer dedução, conforme previsto no Art. 136, em seu item 7.02 da Lei Municipal nº 537 de 15 de setembro de 2017. A alíquota de ISS real aplicada dependerá de possível desoneração de folha e, caso não haja, divisão estimativa em 60% de mão de obra e 40% de materiais.</t>
  </si>
  <si>
    <t>SERVIÇOS PRELIMINARES</t>
  </si>
  <si>
    <t>QUADRO DE MEDIÇÃO GERAL DE ENERGIA PARA 1 MEDIDOR DE SOBREPOR - FORNECIMENTO E INSTALAÇÃO. AF_10/2020</t>
  </si>
  <si>
    <t>DISJUNTOR MONOPOLAR TIPO DIN, CORRENTE NOMINAL DE 16A - FORNECIMENTO E INSTALAÇÃO. AF_10/2020</t>
  </si>
  <si>
    <t>2.0 MOVIMENTAÇÃO DE TERRA</t>
  </si>
  <si>
    <t>3.0 ESTRUTURAS DE CONCRETO ARMADO</t>
  </si>
  <si>
    <t>4.0 SISTEMA DE VEDAÇÃO VERTICAL</t>
  </si>
  <si>
    <t>3.2 PILARES</t>
  </si>
  <si>
    <t>3.3 VIGAS</t>
  </si>
  <si>
    <t>FORNECIMENTO E INSTALAÇÃO DE PLACA DE OBRA COM CHAPA GALVANIZADA E ESTRUTURA DE MADEIRA. AF_03/2022_PS</t>
  </si>
  <si>
    <t>LIMPEZA MECANIZADA DE CAMADA VEGETAL, VEGETAÇÃO E PEQUENAS ÁRVORES (DIÂMETRO DE TRONCO MENOR QUE 0,20 M), COM TRATOR DE ESTEIRAS.AF_05/2018</t>
  </si>
  <si>
    <t>REGULARIZAÇÃO DE SUPERFÍCIES COM MOTONIVELADORA. AF_11/2019</t>
  </si>
  <si>
    <t>ESCAVAÇÃO MANUAL PARA BLOCO DE COROAMENTO OU SAPATA (INCLUINDO ESCAVAÇÃO PARA COLOCAÇÃO DE FÔRMAS). AF_06/2017</t>
  </si>
  <si>
    <t>EXECUÇÃO E COMPACTAÇÃO DE ATERRO COM SOLO PREDOMINANTEMENTE ARGILOSO - EXCLUSIVE SOLO, ESCAVAÇÃO, CARGA E TRANSPORTE. AF_11/2019</t>
  </si>
  <si>
    <t>3.1 SAPATAS E BALDRAMES</t>
  </si>
  <si>
    <t>3.1.1</t>
  </si>
  <si>
    <t>3.1.2</t>
  </si>
  <si>
    <t>3.1.3</t>
  </si>
  <si>
    <t>LASTRO DE CONCRETO MAGRO, APLICADO EM BLOCOS DE COROAMENTO OU SAPATAS, ESPESSURA DE 3 CM. AF_08/2017</t>
  </si>
  <si>
    <t>FABRICAÇÃO, MONTAGEM E DESMONTAGEM DE FÔRMA PARA SAPATA, EM MADEIRA SERRADA, E=25 MM, 4 UTILIZAÇÕES. AF_06/2017</t>
  </si>
  <si>
    <t>ARMAÇÃO DE BLOCO, VIGA BALDRAME OU SAPATA UTILIZANDO AÇO CA-50 DE 8 MM - MONTAGEM. AF_06/2017</t>
  </si>
  <si>
    <t>ARMAÇÃO DE BLOCO, VIGA BALDRAME OU SAPATA UTILIZANDO AÇO CA-50 DE 10 MM - MONTAGEM. AF_06/2017</t>
  </si>
  <si>
    <t>3.1.4</t>
  </si>
  <si>
    <t>3.1.5</t>
  </si>
  <si>
    <t>3.1.6</t>
  </si>
  <si>
    <t>ARMAÇÃO DE BLOCO, VIGA BALDRAME E SAPATA UTILIZANDO AÇO CA-60 DE 5 MM - MONTAGEM. AF_06/2017</t>
  </si>
  <si>
    <t>3.1.7</t>
  </si>
  <si>
    <t>3.1.8</t>
  </si>
  <si>
    <t>FABRICAÇÃO DE FÔRMA PARA PILARES E ESTRUTURAS SIMILARES, EM MADEIRA SERRADA, E=25 MM. AF_09/2020</t>
  </si>
  <si>
    <t>IMPERMEABILIZAÇÃO DE SUPERFÍCIE COM EMULSÃO ASFÁLTICA, 2 DEMÃOS. AF_09/2023</t>
  </si>
  <si>
    <t>ARMAÇÃO DE PILAR OU VIGA DE ESTRUTURA CONVENCIONAL DE CONCRETO ARMADO UTILIZANDO AÇO CA-50 DE 10,0 MM - MONTAGEM. AF_06/2022</t>
  </si>
  <si>
    <t>ARMAÇÃO DE PILAR OU VIGA DE ESTRUTURA CONVENCIONAL DE CONCRETO ARMADO UTILIZANDO AÇO CA-60 DE 5,0 MM - MONTAGEM. AF_06/2022</t>
  </si>
  <si>
    <t>3.2.1</t>
  </si>
  <si>
    <t>3.2.2</t>
  </si>
  <si>
    <t>3.2.3</t>
  </si>
  <si>
    <t>3.2.4</t>
  </si>
  <si>
    <t>CONCRETAGEM DE PILARES, FCK = 25 MPA,  COM USO DE BALDES - LANÇAMENTO, ADENSAMENTO E ACABAMENTO. AF_02/2022</t>
  </si>
  <si>
    <t>3.3.1</t>
  </si>
  <si>
    <t>LAJE PRÉ-MOLDADA UNIDIRECIONAL, BIAPOIADA, PARA FORRO, ENCHIMENTO EM CERÂMICA, VIGOTA CONVENCIONAL, ALTURA TOTAL DA LAJE (ENCHIMENTO+CAPA) = (8+3). AF_11/2020_PA</t>
  </si>
  <si>
    <t>3.4.1</t>
  </si>
  <si>
    <t>3.3.2</t>
  </si>
  <si>
    <t>3.3.3</t>
  </si>
  <si>
    <t>FABRICAÇÃO DE FÔRMA PARA VIGAS, COM MADEIRA SERRADA, E = 25 MM. AF_09/2020</t>
  </si>
  <si>
    <t>ARMAÇÃO DE PILAR OU VIGA DE ESTRUTURA CONVENCIONAL DE CONCRETO ARMADO UTILIZANDO AÇO CA-50 DE 8,0 MM - MONTAGEM. AF_06/2022</t>
  </si>
  <si>
    <t>CONCRETAGEM DE VIGAS E LAJES, FCK=25 MPA, PARA QUALQUER TIPO DE LAJE COM BALDES EM EDIFICAÇÃO TÉRREA - LANÇAMENTO, ADENSAMENTO E ACABAMENTO. AF_02/2022</t>
  </si>
  <si>
    <t>CHAPISCO APLICADO EM ALVENARIA (SEM PRESENÇA DE VÃOS) E ESTRUTURAS DE CONCRETO DE FACHADA, COM COLHER DE PEDREIRO.  ARGAMASSA TRAÇO 1:3 COM PREPARO EM BETONEIRA 400L. AF_10/2022</t>
  </si>
  <si>
    <t>MASSA ÚNICA, PARA RECEBIMENTO DE PINTURA, EM ARGAMASSA TRAÇO 1:2:8, PREPARO MANUAL, APLICADA MANUALMENTE EM FACES INTERNAS DE PAREDES, ESPESSURA DE 20MM, COM EXECUÇÃO DE TALISCAS. AF_06/2014</t>
  </si>
  <si>
    <t>ACABAMENTO POLIDO PARA PISO DE CONCRETO ARMADO OU LAJE SOBRE SOLO DE ALTA RESISTÊNCIA. AF_09/2021</t>
  </si>
  <si>
    <t>5.0 REVESTIMENTOS INTERNOS E EXTERNOS</t>
  </si>
  <si>
    <t>6.0 SISTEMA DE PISO</t>
  </si>
  <si>
    <t>6.1</t>
  </si>
  <si>
    <t>6.2</t>
  </si>
  <si>
    <t>TRATAMENTO DE JUNTA SERRADA, COM TARUGO DE POLIETILENO E SELANTE À BASE DE SILICONE. AF_09/2023</t>
  </si>
  <si>
    <t>APLICAÇÃO MANUAL DE MASSA ACRÍLICA EM PAREDES EXTERNAS DE CASAS, DUAS DEMÃOS. AF_05/2017</t>
  </si>
  <si>
    <t>PINTURA COM TINTA ACRÍLICA DE ACABAMENTO PULVERIZADA SOBRE SUPERFÍCIES METÁLICAS (EXCETO PERFIL) EXECUTADO EM OBRA (02 DEMÃOS). AF_01/2020_PE</t>
  </si>
  <si>
    <t>ALAMBRADO PARA QUADRA POLIESPORTIVA, ESTRUTURADO POR TUBOS DE ACO GALVANIZADO, (MONTANTES COM DIAMETRO 2", TRAVESSAS E ESCORAS COM DIÂMETRO 1 ¼), COM TELA DE ARAME GALVANIZADO, FIO 10 BWG E MALHA QUADRADA 5X5CM (EXCETO MURETA). AF_03/2021</t>
  </si>
  <si>
    <t>CONJUNTO PARA FUTSAL COM TRAVES OFICIAIS DE 3,00 X 2,00 M EM TUBO DE ACO GALVANIZADO 3" COM REQUADRO EM TUBO DE 1", PINTURA EM PRIMER COM TINTA ESMALTE SINTETICO E REDES</t>
  </si>
  <si>
    <t>6.3</t>
  </si>
  <si>
    <t>6.4</t>
  </si>
  <si>
    <t>6.5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</si>
  <si>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</si>
  <si>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</si>
  <si>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</si>
  <si>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</si>
  <si>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</si>
  <si>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</si>
  <si>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</si>
  <si>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</si>
  <si>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</si>
  <si>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</si>
  <si>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</si>
  <si>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</si>
  <si>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</si>
  <si>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ASSENTAMENTO DE GUIA (MEIO-FIO) EM TRECHO RETO, CONFECCIONADA EM CONCRETO PRÉ-FABRICADO, DIMENSÕES 100X15X13X30 CM (COMPRIMENTO X BASE INFERIOR X BASE SUPERIOR X ALTURA), PARA VIAS URBANAS (USO VIÁRIO). AF_06/2016</t>
  </si>
  <si>
    <t>Refletor Slim LED 200W de potência, branco Frio, 6500k, Autovolt, marca G-light ou similar</t>
  </si>
  <si>
    <t>QUADRO DE DISTRIBUIÇÃO DE ENERGIA EM CHAPA DE AÇO GALVANIZADO, DE EMBUTIR, COM BARRAMENTO TRIFÁSICO, PARA 12 DISJUNTORES DIN 100A - FORNECIMENTO E INSTALAÇÃO. AF_10/2020</t>
  </si>
  <si>
    <t>CABO DE COBRE FLEXÍVEL ISOLADO, 4 MM², ANTI-CHAMA 450/750 V, PARA CIRCUITOS TERMINAIS - FORNECIMENTO E INSTALAÇÃO. AF_03/2023</t>
  </si>
  <si>
    <t>LIMPEZA DE SUPERFÍCIE COM JATO DE ALTA PRESSÃO. AF_04/2019</t>
  </si>
  <si>
    <t>TELA DE ARAME GALVANIZADA QUADRANGULAR / LOSANGULAR, FIO 3,4 MM (10 BWG), MALHA 5 X 5 CM, H = 2 M</t>
  </si>
  <si>
    <t>TUBO ACO GALVANIZADO COM COSTURA, CLASSE MEDIA, DN 2", E = *3,65* MM, PESO *5,10* KG/M (NBR 5580)</t>
  </si>
  <si>
    <t>CONJUNTO PARA QUADRA DE VOLEI OFICIAL COM POSTES EM TUBO DE ACO GALVANIZADO 3", H = *255* CM, PINTURA EM TINTA ESMALTE SINTETICO, REDE DE NYLON COM 2 MM, MALHA 10 X 10 CM E ANTENAS OFICIAIS</t>
  </si>
  <si>
    <t>ESCAVAÇÃO MANUAL DE VALA PARA VIGA BALDRAME (INCLUINDO ESCAVAÇÃO PARA COLOCAÇÃO DE FÔRMAS). AF_06/2017</t>
  </si>
  <si>
    <t>LOCACAO CONVENCIONAL DE OBRA, UTILIZANDO GABARITO DE TÁBUAS CORRIDAS PONTALETADAS A CADA 2,00M -  2 UTILIZAÇÕES. AF_10/2018</t>
  </si>
  <si>
    <t>REATERRO MANUAL DE VALAS, COM PLACA VIBRATÓRIA. AF_08/2023</t>
  </si>
  <si>
    <t>ARQUIBANCADA</t>
  </si>
  <si>
    <t>QUADRA</t>
  </si>
  <si>
    <t>DESCONTOS</t>
  </si>
  <si>
    <t>3.3.4</t>
  </si>
  <si>
    <t>3.3 LAJE DA ARQUIBANCADA</t>
  </si>
  <si>
    <t>3.4 LAJE DA ARQUIBANCADA</t>
  </si>
  <si>
    <r>
      <t>ALVENARIA DE EMBASAMENTO COM BLOCO ESTRUTURAL DE CERÂMICA, DE 14X19X29CM E ARGAMASSA DE ASSENTAMENTO COM PREPARO EM BETONEIRA. AF_05/2020 (</t>
    </r>
    <r>
      <rPr>
        <b/>
        <sz val="10"/>
        <rFont val="Arial"/>
        <family val="2"/>
      </rPr>
      <t>ARQUIBANCADA</t>
    </r>
    <r>
      <rPr>
        <sz val="10"/>
        <rFont val="Arial"/>
        <family val="2"/>
      </rPr>
      <t>)</t>
    </r>
  </si>
  <si>
    <t>PAREDES</t>
  </si>
  <si>
    <t>6.6</t>
  </si>
  <si>
    <t>ARMAÇÃO PARA EXECUÇÃO DE RADIER, PISO DE CONCRETO OU LAJE SOBRE SOLO, COM USO DE TELA Q-92. AF_09/2021</t>
  </si>
  <si>
    <r>
      <t>PINTURA DE PISO COM TINTA ACRÍLICA, APLICAÇÃO MANUAL, 3 DEMÃOS, INCLUSO FUNDO PREPARADOR. AF_05/2021 (</t>
    </r>
    <r>
      <rPr>
        <b/>
        <sz val="10"/>
        <rFont val="Arial"/>
        <family val="2"/>
      </rPr>
      <t>DEMARCAÇÃO</t>
    </r>
    <r>
      <rPr>
        <sz val="10"/>
        <rFont val="Arial"/>
        <family val="2"/>
      </rPr>
      <t>)</t>
    </r>
  </si>
  <si>
    <t>ALAMBRADOS</t>
  </si>
  <si>
    <t>LATERAIS</t>
  </si>
  <si>
    <t>CABO DE COBRE FLEXÍVEL ISOLADO, 1,5 MM², ANTI-CHAMA 450/750 V, PARA CIRCUITOS TERMINAIS - FORNECIMENTO E INSTALAÇÃO. AF_03/2023</t>
  </si>
  <si>
    <t>SERVIÇOS FINAIS</t>
  </si>
  <si>
    <t>ILUMINAÇÃO</t>
  </si>
  <si>
    <t>PINTURA E ACABAMENTOS</t>
  </si>
  <si>
    <t>SISTEMA DE PISO</t>
  </si>
  <si>
    <t>REVESTIMENTOS INTERNOS E EXTERNOS</t>
  </si>
  <si>
    <t>SISTEMA DE VEDAÇÃO VERTICAL</t>
  </si>
  <si>
    <t>ESTRUTURAS DE CONCRETO ARMADO</t>
  </si>
  <si>
    <t>MOVIMENTAÇÃO DE TERRA</t>
  </si>
  <si>
    <t>Valor Geral (SEM BDI):</t>
  </si>
  <si>
    <t>CONSTRUÇÃO DE QUADRAS COBERTAS COM ARQUIBANCADA NO MUNICÍPIO DE AFRÂNIO/PE</t>
  </si>
  <si>
    <t>ARQUIBANCADAS</t>
  </si>
  <si>
    <t>4.3</t>
  </si>
  <si>
    <t>ALVENARIA DE VEDAÇÃO COM ELEMENTO VAZADO DE CERÂMICA (COBOGÓ) DE 7X20X20CM E ARGAMASSA DE ASSENTAMENTO COM PREPARO EM BETONEIRA. AF_05/2020</t>
  </si>
  <si>
    <t>COBOGÓ 1º VIGAMENTO</t>
  </si>
  <si>
    <t>COBOGÓ 2º VIGAMENTO</t>
  </si>
  <si>
    <t>TELHAMENTO COM TELHA DE AÇO/ALUMÍNIO E = 0,5 MM, COM ATÉ 2 ÁGUAS, INCLUSO IÇAMENTO. AF_07/2019</t>
  </si>
  <si>
    <t>CALHA EM CHAPA DE AÇO GALVANIZADO NÚMERO 24, DESENVOLVIMENTO DE 50 CM, INCLUSO TRANSPORTE VERTICAL. AF_07/2019</t>
  </si>
  <si>
    <t>CUMEEIRA ONDULADA DE ALUMÍNIO</t>
  </si>
  <si>
    <t>7.5</t>
  </si>
  <si>
    <t>7.6</t>
  </si>
  <si>
    <t>7.7</t>
  </si>
  <si>
    <t>7.8</t>
  </si>
  <si>
    <t>7.9</t>
  </si>
  <si>
    <t>7.10</t>
  </si>
  <si>
    <t>7.11</t>
  </si>
  <si>
    <t>TUBO PVC, SÉRIE R, ÁGUA PLUVIAL, DN 100 MM, FORNECIDO E INSTALADO EM CONDUTORES VERTICAIS DE ÁGUAS PLUVIAIS. AF_06/2022</t>
  </si>
  <si>
    <t>TUBO PVC, SÉRIE R, ÁGUA PLUVIAL, DN 150 MM, FORNECIDO E INSTALADO EM CONDUTORES VERTICAIS DE ÁGUAS PLUVIAIS. AF_06/2022</t>
  </si>
  <si>
    <t>JOELHO 45 GRAUS, PVC, SERIE NORMAL, ESGOTO PREDIAL, DN 100 MM, JUNTA ELÁSTICA, FORNECIDO E INSTALADO EM RAMAL DE DESCARGA OU RAMAL DE ESGOTO SANITÁRIO. AF_08/2022</t>
  </si>
  <si>
    <t>JOELHO 90 GRAUS, PVC, SERIE NORMAL, ESGOTO PREDIAL, DN 100 MM, JUNTA ELÁSTICA, FORNECIDO E INSTALADO EM RAMAL DE DESCARGA OU RAMAL DE ESGOTO SANITÁRIO. AF_08/2022</t>
  </si>
  <si>
    <t>JUNÇÃO SIMPLES, PVC, SERIE R, ÁGUA PLUVIAL, DN 100 X 100 MM, JUNTA ELÁSTICA, FORNECIDO E INSTALADO EM RAMAL DE ENCAMINHAMENTO. AF_06/2022</t>
  </si>
  <si>
    <t>CAIXA ENTERRADA HIDRÁULICA RETANGULAR, EM ALVENARIA COM BLOCOS DE CONCRETO, DIMENSÕES INTERNAS: 0,8X0,8X0,6 M PARA REDE DE ESGOTO. AF_12/2020</t>
  </si>
  <si>
    <t xml:space="preserve">TUBO PVC, SÉRIE R, ÁGUA PLUVIAL, DN 200 MM, FORNECIDO E INSTALADO EM CONDUTORES VERTICAIS DE ÁGUAS PLUVIAIS. </t>
  </si>
  <si>
    <t>8.0 PINTURA E ACABAMENTOS</t>
  </si>
  <si>
    <t>9.0 ALAMBRADOS, EQUIPAMENTOS E ARQUIBANCADA</t>
  </si>
  <si>
    <t>10.0 ILUMINAÇÃO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</si>
  <si>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</si>
  <si>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</si>
  <si>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</si>
  <si>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</si>
  <si>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</si>
  <si>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</si>
  <si>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</si>
  <si>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</si>
  <si>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</si>
  <si>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11.0 SERVIÇOS FINAIS</t>
  </si>
  <si>
    <t>11.1</t>
  </si>
  <si>
    <t>7.0 SISTEMA DE COBERTURA E DRENAGEM PLUVIAL</t>
  </si>
  <si>
    <t>S1=S8=S21=S28</t>
  </si>
  <si>
    <t>S2=S3=S4=S5=S6=S7=S22=S23=S24=S25=S26=S27</t>
  </si>
  <si>
    <t>S9=S10=S19=S20</t>
  </si>
  <si>
    <t>S11=S12=S13=S14=S15=S16=S17=S18</t>
  </si>
  <si>
    <t>3.1 FUNDAÇÕES E BALDRAMES</t>
  </si>
  <si>
    <t>3.1.9</t>
  </si>
  <si>
    <t>ARMAÇÃO DE BLOCO, VIGA BALDRAME E SAPATA UTILIZANDO AÇO CA-50 DE 12,5 MM - MONTAGEM. AF_06/2017</t>
  </si>
  <si>
    <t>ARMAÇÃO DE BLOCO, VIGA BALDRAME E SAPATA UTILIZANDO AÇO CA-50 DE 16 MM - MONTAGEM. AF_06/2017</t>
  </si>
  <si>
    <t>3.2.5</t>
  </si>
  <si>
    <t>ARMAÇÃO DE PILAR OU VIGA DE ESTRUTURA CONVENCIONAL DE CONCRETO ARMADO UTILIZANDO AÇO CA-50 DE 12,5 MM - MONTAGEM. AF_06/2022</t>
  </si>
  <si>
    <t>3.2.6</t>
  </si>
  <si>
    <t>ARMAÇÃO DE PILAR OU VIGA DE ESTRUTURA CONVENCIONAL DE CONCRETO ARMADO UTILIZANDO AÇO CA-50 DE 16 MM - MONTAGEM. AF_06/2022</t>
  </si>
  <si>
    <t>ARMAÇÃO DE PILAR OU VIGA DE ESTRUTURA CONVENCIONAL DE CONCRETO ARMADO UTILIZANDO AÇO CA-50 DE 6,3 MM - MONTAGEM. AF_06/2022</t>
  </si>
  <si>
    <t>3.3.5</t>
  </si>
  <si>
    <t>3.3.6</t>
  </si>
  <si>
    <t>ARQUIBANCADAS - DEGRAU INFERIOR</t>
  </si>
  <si>
    <t>ARQUIBANCADAS - DEGRAU SUPERIOR</t>
  </si>
  <si>
    <t>DISJUNTOR MONOPOLAR TIPO DIN, CORRENTE NOMINAL DE 10A - FORNECIMENTO E INSTALAÇÃO. AF_10/2020</t>
  </si>
  <si>
    <t>CABO DE COBRE FLEXÍVEL ISOLADO, 10 MM², ANTI-CHAMA 450/750 V, PARA DISTRIBUIÇÃO - FORNECIMENTO E INSTALAÇÃO. AF_12/2015</t>
  </si>
  <si>
    <t>ELETRODUTO RÍGIDO ROSCÁVEL, PVC, DN 32 MM (1"), PARA CIRCUITOS TERMINAIS, INSTALADO EM FORRO - FORNECIMENTO E INSTALAÇÃO. AF_03/2023</t>
  </si>
  <si>
    <t>ELETRODUTO RÍGIDO ROSCÁVEL, PVC, DN 40 MM (1 1/4"), PARA CIRCUITOS TERMINAIS, INSTALADO EM FORRO - FORNECIMENTO E INSTALAÇÃO. AF_03/2023</t>
  </si>
  <si>
    <t>ELETRODUTO RÍGIDO ROSCÁVEL, PVC, DN 50 MM (1 1/2"), PARA REDE ENTERRADA DE DISTRIBUIÇÃO DE ENERGIA ELÉTRICA - FORNECIMENTO E INSTALAÇÃO. AF_12/2021</t>
  </si>
  <si>
    <t>SISTEMA DE COBERTURA E DRENAGEM PLUVIAL</t>
  </si>
  <si>
    <t>DEZ/2023</t>
  </si>
  <si>
    <t>Município de Afrânio/PE</t>
  </si>
  <si>
    <t>JUNTA SERRADA SECA, SEÇÃO TRANSVERSAL DIM. 5x10 a 40 mm - m</t>
  </si>
  <si>
    <t>PEDREIRO COM ENCARGOS COMPLEMENTARES</t>
  </si>
  <si>
    <t>CHP</t>
  </si>
  <si>
    <t>CHI</t>
  </si>
  <si>
    <t>CORTADORA DE PISO COM MOTOR 4 TEMPOS A GASOLINA, POTÊNCIA DE 13 HP, COM DISCO DE CORTE DIAMANTADO SEGMENTADO PARA CONCRETO, DIÂMETRO DE 350 MM, FURO DE 1" (14 X 1") - CHP DIURNO. AF_08/2015</t>
  </si>
  <si>
    <t>CORTADORA DE PISO COM MOTOR 4 TEMPOS A GASOLINA, POTÊNCIA DE 13 HP, COM DISCO DE CORTE DIAMANTADO SEGMENTADO PARA CONCRETO, DIÂMETRO DE 350 MM, FURO DE 1" (14 X 1") - CHI DIURNO. AF_08/2015</t>
  </si>
  <si>
    <t>COMP 02</t>
  </si>
  <si>
    <t>COMP 03</t>
  </si>
  <si>
    <t>COMP 04</t>
  </si>
  <si>
    <t>COMP 05</t>
  </si>
  <si>
    <t>COMP 06</t>
  </si>
  <si>
    <t>CONJUNTO PARA QUADRA DE  VOLEI COM POSTES EM TUBO DE ACO GALVANIZADO 3", H = *255* CM, PINTURA EM TINTA ESMALTE SINTETICO, REDE DE NYLON COM 2 MM, MALHA 10 X 10 CM E ANTENAS OFICIAIS EM FIBRA DE VIDRO</t>
  </si>
  <si>
    <t>CONJUNTO PARA FUTSAL COM PAR DE TRAVES OFICIAIS DE 3,00 X 2,00 M EM TUBO DE ACO GALVANIZADO 3" COM REQUADROS EM TUBO DE 1", PINTURA EM PRIMER COM TINTA ESMALTE SINTETICO E REDES DE POLIETILENO FIO 4 MM</t>
  </si>
  <si>
    <t>TELHADISTA COM ENCARGOS COMPLEMENTARES</t>
  </si>
  <si>
    <t>M</t>
  </si>
  <si>
    <t>CONJUNTO PARA FUTSAL COM PAR DE TRAVES OFICIAIS DE 3,00 X 2,00 M EM TUBO DE ACO GALVANIZADO 3" COM REQUADROS EM TUBO DE 1", PINTURA EM PRIMER COM TINTA ESMALTE SINTETICO E REDES DE POLIETILENO FIO 4 MM - und</t>
  </si>
  <si>
    <t>UND</t>
  </si>
  <si>
    <t>COTAÇÃO</t>
  </si>
  <si>
    <t>MERCADO</t>
  </si>
  <si>
    <t>CONJUNTO PARA QUADRA DE  VOLEI COM POSTES EM TUBO DE ACO GALVANIZADO 3", H = *255* CM, PINTURA EM TINTA ESMALTE SINTETICO, REDE DE NYLON COM 2 MM, MALHA 10 X 10 CM E ANTENAS OFICIAIS EM FIBRA DE VIDRO - und</t>
  </si>
  <si>
    <t>ELETRICISTA COM ENCARGOS COMPLEMENTARES</t>
  </si>
  <si>
    <t>AUXILIAR DE ELETRICISTA COM ENCARGOS COMPLEMENTARES</t>
  </si>
  <si>
    <t>SECRETARIA MUNICIPAL DE OBRAS E INFRAESTRUTURA</t>
  </si>
  <si>
    <t>BDI (Diferenciado)</t>
  </si>
  <si>
    <t>Curva ABC (Serviços)</t>
  </si>
  <si>
    <t>Nº</t>
  </si>
  <si>
    <t>% ACUMULADO</t>
  </si>
  <si>
    <t>CONCEITO DA CURVA ABC</t>
  </si>
  <si>
    <t>A</t>
  </si>
  <si>
    <t>B</t>
  </si>
  <si>
    <t>C</t>
  </si>
  <si>
    <t>Coluna1</t>
  </si>
  <si>
    <t>Coluna2</t>
  </si>
  <si>
    <t>Coluna3</t>
  </si>
  <si>
    <t>Coluna4</t>
  </si>
  <si>
    <t>Coluna5</t>
  </si>
  <si>
    <t>Coluna6</t>
  </si>
  <si>
    <t>Coluna7</t>
  </si>
  <si>
    <t>Coluna8</t>
  </si>
  <si>
    <t>Coluna9</t>
  </si>
  <si>
    <t>Coluna10</t>
  </si>
  <si>
    <t>PINTURA DE PISO COM TINTA ACRÍLICA, APLICAÇÃO MANUAL, 3 DEMÃOS, INCLUSO FUNDO PREPARADOR. AF_05/2021 (DEMARCAÇÃO)</t>
  </si>
  <si>
    <t>7.12</t>
  </si>
  <si>
    <t>7.13</t>
  </si>
  <si>
    <t>7.14</t>
  </si>
  <si>
    <t>7.15</t>
  </si>
  <si>
    <t>7.16</t>
  </si>
  <si>
    <t>CHAPA DE ACO GROSSA, ASTM A36, E = 3/8 " (9,53 MM) 74,69 KG/M2</t>
  </si>
  <si>
    <t>CHAPA DE ACO GROSSA, ASTM A36, E = 1/2 " (12,70 MM) 99,59 KG/M2</t>
  </si>
  <si>
    <t>CANTONEIRA ACO ABAS IGUAIS (QUALQUER BITOLA), ESPESSURA ENTRE 1/8" E 1/4"</t>
  </si>
  <si>
    <t>PERFIL "U" DE ACO LAMINADO, "U" 152 X 15,6</t>
  </si>
  <si>
    <t>ELETRODO REVESTIDO AWS - E7018, DIAMETRO IGUAL A 4,00 MM</t>
  </si>
  <si>
    <t>BDI (Diferenciado</t>
  </si>
  <si>
    <t>COMP 07</t>
  </si>
  <si>
    <t>MONTAGEM DE ESTRUTURA METÁLICA DE PILARES E COBERTURA EM AÇO ASTM A36, INCLUSO PERFIS METÁLICOS, CHAPAS METÁLICAS E PINTURA - KG</t>
  </si>
  <si>
    <t>H</t>
  </si>
  <si>
    <t>JATEAMENTO ABRASIVO COM GRANALHA DE AÇO EM PERFIL METÁLICO EM FÁBRICA. AF_01/2020</t>
  </si>
  <si>
    <t>PINTURA COM TINTA ALQUÍDICA DE FUNDO (TIPO ZARCÃO) PULVERIZADA SOBRE PERFIL METÁLICO EXECUTADO EM FÁBRICA (POR DEMÃO). AF_01/2020_PE</t>
  </si>
  <si>
    <t>AJUDANTE DE ESTRUTURA METÁLICA COM ENCARGOS COMPLEMENTARES</t>
  </si>
  <si>
    <t>MONTADOR DE ESTRUTURA METÁLICA COM ENCARGOS COMPLEMENTARES</t>
  </si>
  <si>
    <t>SOLDADOR COM ENCARGOS COMPLEMENTARES</t>
  </si>
  <si>
    <t>GUINDASTE HIDRÁULICO AUTOPROPELIDO, COM LANÇA TELESCÓPICA 40 M, CAPACIDADE MÁXIMA 60 T, POTÊNCIA 260 KW - CHP DIURNO. AF_03/2016</t>
  </si>
  <si>
    <t>GUINDASTE HIDRÁULICO AUTOPROPELIDO, COM LANÇA TELESCÓPICA 40 M, CAPACIDADE MÁXIMA 60 T, POTÊNCIA 260 KW - CHI DIURNO. AF_03/2016</t>
  </si>
  <si>
    <t>SINAPI
 INSUMOS
BDI DIFERENCIADO</t>
  </si>
  <si>
    <t>COEFICIENTE DA COMPOSIÇÃO SINAPI 100775</t>
  </si>
  <si>
    <t>MONTAGEM DE ESTRUTURA METÁLICA DE PILARES E COBERTURA EM AÇO ASTM A36, INCLUSO PERFIS METÁLICOS, CHAPAS METÁLICAS E PINTURA</t>
  </si>
  <si>
    <t>SINAPI 10/2023
NÃO DESONERADO</t>
  </si>
  <si>
    <r>
      <t xml:space="preserve">CONFORME SOLICITADO NO </t>
    </r>
    <r>
      <rPr>
        <b/>
        <sz val="10"/>
        <rFont val="AvantGarde Bk BT"/>
      </rPr>
      <t xml:space="preserve">OF TC DINFRA/GAOS-Sede nº 77/2024_Solicitação Informações_Afrânio </t>
    </r>
    <r>
      <rPr>
        <sz val="10"/>
        <rFont val="AvantGarde Bk BT"/>
      </rPr>
      <t xml:space="preserve">DATADO DE 09 DE AGOSTO DE 2024 E ASSINADO POR </t>
    </r>
    <r>
      <rPr>
        <b/>
        <sz val="10"/>
        <rFont val="AvantGarde Bk BT"/>
      </rPr>
      <t>ROSANE MACHADO DE MELO VASQUES</t>
    </r>
    <r>
      <rPr>
        <sz val="10"/>
        <rFont val="AvantGarde Bk BT"/>
      </rPr>
      <t>, EM SEU ITEM 1.5, DESMEMBRAMOS O ITEM 7.1 ENTRE SERVIÇOS E INSUMOS E APLICAMOS BDI DIFERENCIADO NOS INSUMOS DA COMPOSIÇÃO ORIGINAL (100775 - SINAPI), CRIANDO AINDA UMA COMPOSIÇÃO PRÓPRIA APENAS COM OS SERVIÇOS DESTA COMPOSIÇÃO ORIGINAL. SALIENTAMOS QUE OS COEFICIENTES E ITENS UTILIZADOS SÃO EXATAMENTE OS MESMOS DA COMPOSIÇÃO SINAPI 100775, ASSIM COMO SEUS PREÇOS UNITÁRIOS.</t>
    </r>
  </si>
  <si>
    <t>ALVENARIA DE EMBASAMENTO COM BLOCO ESTRUTURAL DE CERÂMICA, DE 14X19X29CM E ARGAMASSA DE ASSENTAMENTO COM PREPARO EM BETONEIRA. AF_05/2020 (ARQUIBANCADA)</t>
  </si>
  <si>
    <t>REFLETOR SLIM LED 200W DE POTÊNCIA, BRANCO FRIO, 6500K, AUTOVOLT</t>
  </si>
  <si>
    <t>COMPOSIÇÃO
(ORSE 12800)</t>
  </si>
  <si>
    <t>COMPOSIÇÃO
(SINAPI 100775)</t>
  </si>
  <si>
    <t>COMPOSIÇÃO
(SEINFRA C5202)</t>
  </si>
  <si>
    <t>COMPOSIÇÃO
(SEINFRA C1349)</t>
  </si>
  <si>
    <t>COMPOSIÇÃO
(SEINFRA C1351)</t>
  </si>
  <si>
    <t>COMPOSIÇÃO
(ORSE 12808)</t>
  </si>
  <si>
    <t>PORTÃO EM ESTRUTURA DE TUBOS METÁLCOS PINTADOS COM TELA DE AÇO GALVANIZADO BWG 10, MALHA DE 5 CM (1,80 X 1,50 m).- UND</t>
  </si>
  <si>
    <t>COMPOSIÇÃO
(ORSE 13236)</t>
  </si>
  <si>
    <t>9.0 ALAMBRADOS E EQUIPAMENTOS</t>
  </si>
  <si>
    <t>ALAMBRADOS E EQUIPAMENTOS</t>
  </si>
  <si>
    <t>REFLETOR SLIM LED 200W DE POTÊNCIA, BRANCO FRIO, 6500K</t>
  </si>
  <si>
    <t>REFLETOR SLIM LED 200W DE POTÊNCIA, BRANCO FRIO, 6500K - und</t>
  </si>
  <si>
    <t>CUMEEIRA METÁLICA</t>
  </si>
  <si>
    <t>CUMEEIRA METÁLICA - m</t>
  </si>
  <si>
    <t>OBSERVAÇÃO COMPOSIÇÃO 06: PREÇO FINAL DE R$ 207,25 OBTIDO PELA MÉDIA DE PREÇOS DE COTAÇÕES REALIZADAS NO BANCO DE PREÇO DE ENTES PÚBLICOS DIVERSOS (DOCUMENTO EM ANEXO).</t>
  </si>
  <si>
    <t>OBSERVAÇÃO COMPOSIÇÃO 02: PREÇO FINAL DE R$ 73,25 OBTIDO PELA MÉDIA ENTRE PREÇO 2 E PREÇO 3 DA COTAÇÃO EM ANEXO. AS COTAÇÕES FORAM OBTIDAS ATRAVÉS DO BANCO DE PREÇOS DE COMPRAS GOVERNAMENTAIS. (DOCUMENTO EM ANEXO)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</si>
</sst>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_-* #,##0.00\ _€_-;\-* #,##0.00\ _€_-;_-* &quot;-&quot;??\ _€_-;_-@_-"/>
    <numFmt numFmtId="169" formatCode="#\,##0.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\$#."/>
    <numFmt numFmtId="173" formatCode="#.00"/>
    <numFmt numFmtId="174" formatCode="0.00_)"/>
    <numFmt numFmtId="175" formatCode="%#.00"/>
    <numFmt numFmtId="176" formatCode="#\,##0.00"/>
    <numFmt numFmtId="177" formatCode="#,"/>
    <numFmt numFmtId="178" formatCode="_(* #,##0_);_(* \(#,##0\);_(* &quot;-&quot;_);_(@_)"/>
    <numFmt numFmtId="179" formatCode="#,##0.0000"/>
    <numFmt numFmtId="180" formatCode="_-&quot;R$&quot;\ * #,##0.0000_-;\-&quot;R$&quot;\ * #,##0.0000_-;_-&quot;R$&quot;\ * &quot;-&quot;??_-;_-@_-"/>
    <numFmt numFmtId="181" formatCode="_(&quot;R$&quot;* #,##0.00_);_(&quot;R$&quot;* \(#,##0.00\);_(&quot;R$&quot;* &quot;-&quot;??_);_(@_)"/>
    <numFmt numFmtId="182" formatCode="_(* #,##0.00000_);_(* \(#,##0.00000\);_(* &quot;-&quot;??_);_(@_)"/>
    <numFmt numFmtId="183" formatCode="0.0000000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1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u/>
      <sz val="11"/>
      <color indexed="12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sz val="10"/>
      <name val="Times New Roman"/>
      <family val="1"/>
    </font>
    <font>
      <sz val="10"/>
      <name val="MS Sans Serif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sz val="8"/>
      <color indexed="8"/>
      <name val="Arial"/>
      <family val="2"/>
    </font>
    <font>
      <sz val="10"/>
      <color indexed="8"/>
      <name val="SansSerif"/>
      <charset val="2"/>
    </font>
    <font>
      <b/>
      <sz val="8"/>
      <color indexed="8"/>
      <name val="Arial"/>
      <family val="2"/>
    </font>
    <font>
      <sz val="9"/>
      <name val="Arial"/>
      <family val="2"/>
    </font>
    <font>
      <sz val="14"/>
      <name val="Calibri"/>
      <family val="2"/>
      <scheme val="minor"/>
    </font>
    <font>
      <b/>
      <sz val="8"/>
      <name val="AvantGarde Bk BT"/>
    </font>
    <font>
      <b/>
      <sz val="9"/>
      <name val="AvantGarde Bk BT"/>
    </font>
    <font>
      <sz val="9"/>
      <name val="AvantGarde Bk BT"/>
    </font>
    <font>
      <b/>
      <sz val="9"/>
      <color theme="1"/>
      <name val="Avanta"/>
    </font>
    <font>
      <sz val="11"/>
      <color theme="1"/>
      <name val="Avanta"/>
    </font>
    <font>
      <sz val="10"/>
      <name val="AvantGarde Bk BT"/>
    </font>
    <font>
      <b/>
      <sz val="10"/>
      <color theme="1"/>
      <name val="Avanta"/>
    </font>
    <font>
      <b/>
      <sz val="11"/>
      <color theme="1"/>
      <name val="Avanta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.7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9"/>
      <color theme="1"/>
      <name val="AvantGarde Bk BT"/>
    </font>
    <font>
      <b/>
      <sz val="10"/>
      <name val="AvantGarde Bk BT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33CC33"/>
        <bgColor indexed="31"/>
      </patternFill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/>
      <top/>
      <bottom/>
      <diagonal/>
    </border>
    <border>
      <left style="medium">
        <color indexed="64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958">
    <xf numFmtId="0" fontId="0" fillId="0" borderId="0"/>
    <xf numFmtId="0" fontId="16" fillId="0" borderId="0" applyNumberFormat="0" applyBorder="0" applyProtection="0"/>
    <xf numFmtId="0" fontId="16" fillId="0" borderId="0" applyNumberFormat="0" applyBorder="0" applyProtection="0"/>
    <xf numFmtId="165" fontId="16" fillId="0" borderId="0" applyBorder="0" applyProtection="0"/>
    <xf numFmtId="165" fontId="16" fillId="0" borderId="0" applyBorder="0" applyProtection="0"/>
    <xf numFmtId="0" fontId="10" fillId="0" borderId="0"/>
    <xf numFmtId="0" fontId="16" fillId="0" borderId="0" applyNumberFormat="0" applyBorder="0" applyProtection="0"/>
    <xf numFmtId="0" fontId="17" fillId="0" borderId="0" applyNumberFormat="0" applyBorder="0" applyProtection="0"/>
    <xf numFmtId="166" fontId="17" fillId="0" borderId="0" applyBorder="0" applyProtection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0" fontId="7" fillId="0" borderId="0"/>
    <xf numFmtId="0" fontId="19" fillId="0" borderId="0"/>
    <xf numFmtId="0" fontId="7" fillId="0" borderId="0"/>
    <xf numFmtId="0" fontId="15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0" fillId="0" borderId="0" applyNumberFormat="0" applyBorder="0" applyProtection="0"/>
    <xf numFmtId="167" fontId="20" fillId="0" borderId="0" applyBorder="0" applyProtection="0"/>
    <xf numFmtId="164" fontId="7" fillId="0" borderId="0" applyFont="0" applyFill="0" applyBorder="0" applyAlignment="0" applyProtection="0"/>
    <xf numFmtId="165" fontId="16" fillId="0" borderId="0" applyBorder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168" fontId="7" fillId="0" borderId="0" applyFont="0" applyFill="0" applyBorder="0" applyAlignment="0" applyProtection="0"/>
    <xf numFmtId="169" fontId="22" fillId="0" borderId="0">
      <protection locked="0"/>
    </xf>
    <xf numFmtId="0" fontId="8" fillId="5" borderId="5" applyFill="0" applyBorder="0" applyAlignment="0" applyProtection="0">
      <alignment vertical="center"/>
      <protection locked="0"/>
    </xf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10" fillId="0" borderId="0"/>
    <xf numFmtId="173" fontId="22" fillId="0" borderId="0">
      <protection locked="0"/>
    </xf>
    <xf numFmtId="173" fontId="22" fillId="0" borderId="0"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38" fontId="13" fillId="2" borderId="0" applyNumberFormat="0" applyBorder="0" applyAlignment="0" applyProtection="0"/>
    <xf numFmtId="0" fontId="22" fillId="0" borderId="0">
      <protection locked="0"/>
    </xf>
    <xf numFmtId="0" fontId="22" fillId="0" borderId="0"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/>
    <xf numFmtId="10" fontId="13" fillId="6" borderId="1" applyNumberFormat="0" applyBorder="0" applyAlignment="0" applyProtection="0"/>
    <xf numFmtId="0" fontId="7" fillId="0" borderId="0">
      <alignment horizontal="centerContinuous" vertical="justify"/>
    </xf>
    <xf numFmtId="0" fontId="26" fillId="0" borderId="0" applyAlignment="0">
      <alignment horizontal="center"/>
    </xf>
    <xf numFmtId="44" fontId="11" fillId="0" borderId="0" applyFont="0" applyFill="0" applyBorder="0" applyAlignment="0" applyProtection="0"/>
    <xf numFmtId="174" fontId="2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9" fillId="0" borderId="0">
      <alignment horizontal="left" vertical="center" indent="12"/>
    </xf>
    <xf numFmtId="0" fontId="13" fillId="0" borderId="5" applyBorder="0">
      <alignment horizontal="left" vertical="center" wrapText="1" indent="2"/>
      <protection locked="0"/>
    </xf>
    <xf numFmtId="0" fontId="13" fillId="0" borderId="5" applyBorder="0">
      <alignment horizontal="left" vertical="center" wrapText="1" indent="3"/>
      <protection locked="0"/>
    </xf>
    <xf numFmtId="10" fontId="7" fillId="0" borderId="0" applyFont="0" applyFill="0" applyBorder="0" applyAlignment="0" applyProtection="0"/>
    <xf numFmtId="175" fontId="22" fillId="0" borderId="0">
      <protection locked="0"/>
    </xf>
    <xf numFmtId="175" fontId="22" fillId="0" borderId="0">
      <protection locked="0"/>
    </xf>
    <xf numFmtId="176" fontId="22" fillId="0" borderId="0">
      <protection locked="0"/>
    </xf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8" fontId="29" fillId="0" borderId="0" applyFont="0" applyFill="0" applyBorder="0" applyAlignment="0" applyProtection="0"/>
    <xf numFmtId="177" fontId="30" fillId="0" borderId="0">
      <protection locked="0"/>
    </xf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29" fillId="0" borderId="0"/>
    <xf numFmtId="0" fontId="31" fillId="0" borderId="0">
      <protection locked="0"/>
    </xf>
    <xf numFmtId="0" fontId="31" fillId="0" borderId="0"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6" fillId="0" borderId="0"/>
    <xf numFmtId="164" fontId="3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6" fillId="0" borderId="0"/>
    <xf numFmtId="0" fontId="32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centerContinuous" vertical="justify"/>
    </xf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10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16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centerContinuous" vertical="justify"/>
    </xf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10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>
      <alignment horizontal="centerContinuous" vertical="justify"/>
    </xf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164" fontId="6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6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0" fontId="32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>
      <alignment horizontal="centerContinuous" vertical="justify"/>
    </xf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46" fillId="0" borderId="0"/>
  </cellStyleXfs>
  <cellXfs count="342">
    <xf numFmtId="0" fontId="0" fillId="0" borderId="0" xfId="0"/>
    <xf numFmtId="0" fontId="6" fillId="0" borderId="1" xfId="11" applyFont="1" applyBorder="1" applyAlignment="1">
      <alignment horizontal="center" vertical="center"/>
    </xf>
    <xf numFmtId="0" fontId="6" fillId="0" borderId="1" xfId="173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173" applyBorder="1" applyAlignment="1">
      <alignment horizontal="center" vertical="center"/>
    </xf>
    <xf numFmtId="164" fontId="6" fillId="0" borderId="1" xfId="25" quotePrefix="1" applyFont="1" applyFill="1" applyBorder="1" applyAlignment="1">
      <alignment horizontal="right" vertical="center"/>
    </xf>
    <xf numFmtId="0" fontId="38" fillId="0" borderId="21" xfId="173" applyFont="1" applyBorder="1" applyAlignment="1" applyProtection="1">
      <alignment vertical="center"/>
      <protection hidden="1"/>
    </xf>
    <xf numFmtId="0" fontId="38" fillId="0" borderId="21" xfId="173" applyFont="1" applyBorder="1" applyProtection="1">
      <protection hidden="1"/>
    </xf>
    <xf numFmtId="0" fontId="37" fillId="0" borderId="21" xfId="173" applyFont="1" applyBorder="1" applyProtection="1">
      <protection hidden="1"/>
    </xf>
    <xf numFmtId="0" fontId="37" fillId="0" borderId="22" xfId="173" applyFont="1" applyBorder="1" applyProtection="1">
      <protection hidden="1"/>
    </xf>
    <xf numFmtId="0" fontId="37" fillId="0" borderId="23" xfId="173" applyFont="1" applyBorder="1" applyProtection="1">
      <protection hidden="1"/>
    </xf>
    <xf numFmtId="0" fontId="37" fillId="4" borderId="11" xfId="173" applyFont="1" applyFill="1" applyBorder="1" applyProtection="1">
      <protection hidden="1"/>
    </xf>
    <xf numFmtId="0" fontId="37" fillId="0" borderId="1" xfId="173" applyFont="1" applyBorder="1" applyProtection="1">
      <protection hidden="1"/>
    </xf>
    <xf numFmtId="10" fontId="37" fillId="10" borderId="1" xfId="173" applyNumberFormat="1" applyFont="1" applyFill="1" applyBorder="1" applyProtection="1">
      <protection hidden="1"/>
    </xf>
    <xf numFmtId="0" fontId="39" fillId="0" borderId="12" xfId="173" applyFont="1" applyBorder="1" applyAlignment="1" applyProtection="1">
      <alignment horizontal="center"/>
      <protection hidden="1"/>
    </xf>
    <xf numFmtId="0" fontId="37" fillId="0" borderId="11" xfId="173" applyFont="1" applyBorder="1" applyProtection="1">
      <protection hidden="1"/>
    </xf>
    <xf numFmtId="0" fontId="39" fillId="0" borderId="23" xfId="173" applyFont="1" applyBorder="1" applyAlignment="1" applyProtection="1">
      <alignment horizontal="center"/>
      <protection hidden="1"/>
    </xf>
    <xf numFmtId="0" fontId="39" fillId="0" borderId="22" xfId="173" applyFont="1" applyBorder="1" applyProtection="1">
      <protection hidden="1"/>
    </xf>
    <xf numFmtId="10" fontId="39" fillId="0" borderId="22" xfId="173" applyNumberFormat="1" applyFont="1" applyBorder="1" applyProtection="1">
      <protection hidden="1"/>
    </xf>
    <xf numFmtId="0" fontId="37" fillId="0" borderId="6" xfId="173" applyFont="1" applyBorder="1"/>
    <xf numFmtId="0" fontId="37" fillId="0" borderId="0" xfId="173" applyFont="1"/>
    <xf numFmtId="0" fontId="37" fillId="0" borderId="7" xfId="173" applyFont="1" applyBorder="1"/>
    <xf numFmtId="0" fontId="40" fillId="0" borderId="6" xfId="173" applyFont="1" applyBorder="1"/>
    <xf numFmtId="0" fontId="40" fillId="0" borderId="0" xfId="173" applyFont="1"/>
    <xf numFmtId="0" fontId="40" fillId="0" borderId="7" xfId="173" applyFont="1" applyBorder="1"/>
    <xf numFmtId="180" fontId="43" fillId="0" borderId="1" xfId="1955" applyNumberFormat="1" applyFont="1" applyBorder="1" applyAlignment="1" applyProtection="1">
      <alignment horizontal="right" vertical="top" wrapText="1"/>
    </xf>
    <xf numFmtId="0" fontId="0" fillId="0" borderId="1" xfId="0" applyBorder="1"/>
    <xf numFmtId="0" fontId="9" fillId="0" borderId="15" xfId="0" applyFont="1" applyBorder="1"/>
    <xf numFmtId="0" fontId="0" fillId="0" borderId="15" xfId="0" applyBorder="1"/>
    <xf numFmtId="0" fontId="9" fillId="0" borderId="7" xfId="0" applyFont="1" applyBorder="1"/>
    <xf numFmtId="0" fontId="0" fillId="0" borderId="7" xfId="0" applyBorder="1"/>
    <xf numFmtId="2" fontId="13" fillId="0" borderId="0" xfId="1957" applyNumberFormat="1" applyFont="1" applyAlignment="1" applyProtection="1">
      <alignment horizontal="left" vertical="center"/>
      <protection locked="0"/>
    </xf>
    <xf numFmtId="2" fontId="13" fillId="0" borderId="27" xfId="1957" applyNumberFormat="1" applyFont="1" applyBorder="1" applyAlignment="1" applyProtection="1">
      <alignment vertical="center"/>
      <protection locked="0"/>
    </xf>
    <xf numFmtId="2" fontId="13" fillId="0" borderId="7" xfId="1957" applyNumberFormat="1" applyFont="1" applyBorder="1" applyAlignment="1" applyProtection="1">
      <alignment horizontal="left" vertical="center"/>
      <protection locked="0"/>
    </xf>
    <xf numFmtId="2" fontId="13" fillId="6" borderId="28" xfId="1957" applyNumberFormat="1" applyFont="1" applyFill="1" applyBorder="1" applyAlignment="1" applyProtection="1">
      <alignment vertical="center"/>
      <protection locked="0"/>
    </xf>
    <xf numFmtId="2" fontId="13" fillId="6" borderId="29" xfId="1957" applyNumberFormat="1" applyFont="1" applyFill="1" applyBorder="1" applyAlignment="1" applyProtection="1">
      <alignment vertical="center"/>
      <protection locked="0"/>
    </xf>
    <xf numFmtId="2" fontId="13" fillId="6" borderId="30" xfId="1957" applyNumberFormat="1" applyFont="1" applyFill="1" applyBorder="1" applyAlignment="1" applyProtection="1">
      <alignment vertical="center"/>
      <protection locked="0"/>
    </xf>
    <xf numFmtId="2" fontId="13" fillId="6" borderId="31" xfId="1957" applyNumberFormat="1" applyFont="1" applyFill="1" applyBorder="1" applyAlignment="1" applyProtection="1">
      <alignment vertical="center"/>
      <protection locked="0"/>
    </xf>
    <xf numFmtId="2" fontId="13" fillId="6" borderId="32" xfId="1957" applyNumberFormat="1" applyFont="1" applyFill="1" applyBorder="1" applyAlignment="1" applyProtection="1">
      <alignment vertical="center"/>
      <protection locked="0"/>
    </xf>
    <xf numFmtId="0" fontId="0" fillId="0" borderId="6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33" xfId="0" applyBorder="1"/>
    <xf numFmtId="2" fontId="13" fillId="0" borderId="6" xfId="1957" applyNumberFormat="1" applyFont="1" applyBorder="1" applyAlignment="1" applyProtection="1">
      <alignment horizontal="left" vertical="center"/>
      <protection locked="0"/>
    </xf>
    <xf numFmtId="2" fontId="13" fillId="0" borderId="34" xfId="1957" applyNumberFormat="1" applyFont="1" applyBorder="1" applyAlignment="1" applyProtection="1">
      <alignment horizontal="left" vertical="center"/>
      <protection locked="0"/>
    </xf>
    <xf numFmtId="0" fontId="0" fillId="6" borderId="29" xfId="0" applyFill="1" applyBorder="1" applyAlignment="1" applyProtection="1">
      <alignment vertical="center"/>
      <protection locked="0"/>
    </xf>
    <xf numFmtId="2" fontId="13" fillId="0" borderId="34" xfId="1957" applyNumberFormat="1" applyFont="1" applyBorder="1" applyAlignment="1" applyProtection="1">
      <alignment vertical="center"/>
      <protection locked="0"/>
    </xf>
    <xf numFmtId="2" fontId="13" fillId="0" borderId="4" xfId="1957" applyNumberFormat="1" applyFont="1" applyBorder="1" applyAlignment="1" applyProtection="1">
      <alignment vertical="center"/>
      <protection locked="0"/>
    </xf>
    <xf numFmtId="2" fontId="13" fillId="6" borderId="37" xfId="1957" applyNumberFormat="1" applyFont="1" applyFill="1" applyBorder="1" applyAlignment="1" applyProtection="1">
      <alignment vertical="center"/>
      <protection locked="0"/>
    </xf>
    <xf numFmtId="181" fontId="13" fillId="6" borderId="3" xfId="1955" applyNumberFormat="1" applyFont="1" applyFill="1" applyBorder="1" applyAlignment="1" applyProtection="1">
      <alignment vertical="center"/>
      <protection locked="0"/>
    </xf>
    <xf numFmtId="2" fontId="13" fillId="6" borderId="35" xfId="1957" applyNumberFormat="1" applyFont="1" applyFill="1" applyBorder="1" applyAlignment="1" applyProtection="1">
      <alignment vertical="center"/>
      <protection locked="0"/>
    </xf>
    <xf numFmtId="0" fontId="48" fillId="11" borderId="1" xfId="0" applyFont="1" applyFill="1" applyBorder="1" applyAlignment="1">
      <alignment horizontal="center" vertical="center"/>
    </xf>
    <xf numFmtId="0" fontId="48" fillId="11" borderId="1" xfId="0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164" fontId="50" fillId="0" borderId="1" xfId="25" applyFont="1" applyFill="1" applyBorder="1" applyAlignment="1">
      <alignment horizontal="left" vertical="center" wrapText="1"/>
    </xf>
    <xf numFmtId="44" fontId="50" fillId="0" borderId="1" xfId="1955" applyFont="1" applyFill="1" applyBorder="1" applyAlignment="1">
      <alignment horizontal="right" vertical="center" wrapText="1"/>
    </xf>
    <xf numFmtId="44" fontId="50" fillId="0" borderId="1" xfId="1955" applyFont="1" applyFill="1" applyBorder="1" applyAlignment="1">
      <alignment horizontal="left" vertical="center" wrapText="1"/>
    </xf>
    <xf numFmtId="44" fontId="51" fillId="3" borderId="1" xfId="0" applyNumberFormat="1" applyFont="1" applyFill="1" applyBorder="1"/>
    <xf numFmtId="44" fontId="55" fillId="3" borderId="1" xfId="0" applyNumberFormat="1" applyFont="1" applyFill="1" applyBorder="1"/>
    <xf numFmtId="0" fontId="53" fillId="0" borderId="0" xfId="0" applyFont="1" applyAlignment="1">
      <alignment horizontal="center" vertical="center" wrapText="1"/>
    </xf>
    <xf numFmtId="0" fontId="53" fillId="0" borderId="0" xfId="0" applyFont="1" applyAlignment="1">
      <alignment horizontal="left" vertical="center" wrapText="1"/>
    </xf>
    <xf numFmtId="0" fontId="9" fillId="0" borderId="14" xfId="0" applyFont="1" applyBorder="1"/>
    <xf numFmtId="0" fontId="9" fillId="0" borderId="0" xfId="0" applyFont="1"/>
    <xf numFmtId="0" fontId="35" fillId="0" borderId="0" xfId="0" applyFont="1"/>
    <xf numFmtId="0" fontId="48" fillId="11" borderId="4" xfId="0" applyFont="1" applyFill="1" applyBorder="1" applyAlignment="1">
      <alignment horizontal="center" vertical="center" wrapText="1"/>
    </xf>
    <xf numFmtId="2" fontId="0" fillId="0" borderId="0" xfId="0" applyNumberFormat="1"/>
    <xf numFmtId="181" fontId="13" fillId="6" borderId="37" xfId="1955" applyNumberFormat="1" applyFont="1" applyFill="1" applyBorder="1" applyAlignment="1" applyProtection="1">
      <alignment vertical="center"/>
      <protection locked="0"/>
    </xf>
    <xf numFmtId="10" fontId="13" fillId="6" borderId="37" xfId="1956" applyNumberFormat="1" applyFont="1" applyFill="1" applyBorder="1" applyAlignment="1" applyProtection="1">
      <alignment vertical="center"/>
      <protection locked="0"/>
    </xf>
    <xf numFmtId="44" fontId="6" fillId="0" borderId="1" xfId="1955" quotePrefix="1" applyFont="1" applyFill="1" applyBorder="1" applyAlignment="1">
      <alignment horizontal="right" vertical="center"/>
    </xf>
    <xf numFmtId="0" fontId="0" fillId="0" borderId="41" xfId="0" applyBorder="1" applyAlignment="1">
      <alignment horizontal="center"/>
    </xf>
    <xf numFmtId="0" fontId="0" fillId="0" borderId="39" xfId="0" applyBorder="1" applyAlignment="1">
      <alignment vertical="center"/>
    </xf>
    <xf numFmtId="0" fontId="0" fillId="0" borderId="38" xfId="0" applyBorder="1"/>
    <xf numFmtId="0" fontId="0" fillId="0" borderId="40" xfId="0" applyBorder="1"/>
    <xf numFmtId="10" fontId="9" fillId="0" borderId="0" xfId="0" applyNumberFormat="1" applyFont="1"/>
    <xf numFmtId="2" fontId="13" fillId="0" borderId="41" xfId="1957" applyNumberFormat="1" applyFont="1" applyBorder="1" applyAlignment="1" applyProtection="1">
      <alignment horizontal="left" vertical="center"/>
      <protection locked="0"/>
    </xf>
    <xf numFmtId="2" fontId="13" fillId="6" borderId="42" xfId="1957" applyNumberFormat="1" applyFont="1" applyFill="1" applyBorder="1" applyAlignment="1" applyProtection="1">
      <alignment vertical="center"/>
      <protection locked="0"/>
    </xf>
    <xf numFmtId="2" fontId="13" fillId="0" borderId="0" xfId="1957" applyNumberFormat="1" applyFont="1" applyAlignment="1" applyProtection="1">
      <alignment vertical="center"/>
      <protection locked="0"/>
    </xf>
    <xf numFmtId="0" fontId="0" fillId="0" borderId="34" xfId="0" applyBorder="1" applyAlignment="1">
      <alignment vertical="center"/>
    </xf>
    <xf numFmtId="0" fontId="0" fillId="0" borderId="41" xfId="0" applyBorder="1"/>
    <xf numFmtId="10" fontId="13" fillId="0" borderId="0" xfId="1956" applyNumberFormat="1" applyFont="1" applyFill="1" applyBorder="1" applyAlignment="1" applyProtection="1">
      <alignment vertical="center"/>
      <protection locked="0"/>
    </xf>
    <xf numFmtId="181" fontId="13" fillId="0" borderId="0" xfId="1955" applyNumberFormat="1" applyFont="1" applyFill="1" applyBorder="1" applyAlignment="1" applyProtection="1">
      <alignment vertical="center"/>
      <protection locked="0"/>
    </xf>
    <xf numFmtId="0" fontId="57" fillId="0" borderId="0" xfId="0" applyFont="1" applyAlignment="1">
      <alignment vertical="center"/>
    </xf>
    <xf numFmtId="0" fontId="43" fillId="3" borderId="1" xfId="0" applyFont="1" applyFill="1" applyBorder="1" applyAlignment="1">
      <alignment horizontal="center" vertical="center" wrapText="1"/>
    </xf>
    <xf numFmtId="0" fontId="44" fillId="3" borderId="0" xfId="0" applyFont="1" applyFill="1" applyAlignment="1">
      <alignment horizontal="left" vertical="top" wrapText="1"/>
    </xf>
    <xf numFmtId="0" fontId="44" fillId="3" borderId="7" xfId="0" applyFont="1" applyFill="1" applyBorder="1" applyAlignment="1">
      <alignment horizontal="left" vertical="top" wrapText="1"/>
    </xf>
    <xf numFmtId="0" fontId="43" fillId="0" borderId="1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top" wrapText="1"/>
    </xf>
    <xf numFmtId="179" fontId="43" fillId="0" borderId="1" xfId="0" applyNumberFormat="1" applyFont="1" applyBorder="1" applyAlignment="1">
      <alignment horizontal="right" vertical="top" wrapText="1"/>
    </xf>
    <xf numFmtId="44" fontId="43" fillId="0" borderId="1" xfId="1955" applyFont="1" applyBorder="1" applyAlignment="1" applyProtection="1">
      <alignment horizontal="right" vertical="top" wrapText="1"/>
    </xf>
    <xf numFmtId="0" fontId="44" fillId="0" borderId="1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 wrapText="1"/>
    </xf>
    <xf numFmtId="0" fontId="45" fillId="11" borderId="1" xfId="0" applyFont="1" applyFill="1" applyBorder="1" applyAlignment="1">
      <alignment horizontal="right" vertical="top" wrapText="1"/>
    </xf>
    <xf numFmtId="44" fontId="43" fillId="0" borderId="1" xfId="1955" applyFont="1" applyFill="1" applyBorder="1" applyAlignment="1" applyProtection="1">
      <alignment horizontal="right" vertical="top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45" fillId="0" borderId="1" xfId="0" applyFont="1" applyBorder="1" applyAlignment="1">
      <alignment vertical="top" wrapText="1"/>
    </xf>
    <xf numFmtId="0" fontId="45" fillId="11" borderId="5" xfId="0" applyFont="1" applyFill="1" applyBorder="1" applyAlignment="1">
      <alignment horizontal="right" vertical="center" wrapText="1"/>
    </xf>
    <xf numFmtId="44" fontId="45" fillId="0" borderId="1" xfId="1955" applyFont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2" fontId="13" fillId="0" borderId="6" xfId="1957" applyNumberFormat="1" applyFont="1" applyBorder="1" applyAlignment="1" applyProtection="1">
      <alignment vertical="center"/>
      <protection locked="0"/>
    </xf>
    <xf numFmtId="2" fontId="58" fillId="6" borderId="28" xfId="1957" applyNumberFormat="1" applyFont="1" applyFill="1" applyBorder="1" applyAlignment="1" applyProtection="1">
      <alignment vertical="center"/>
      <protection locked="0"/>
    </xf>
    <xf numFmtId="0" fontId="57" fillId="8" borderId="0" xfId="0" applyFont="1" applyFill="1" applyAlignment="1">
      <alignment horizontal="center" vertical="center"/>
    </xf>
    <xf numFmtId="0" fontId="8" fillId="11" borderId="47" xfId="758" applyFont="1" applyFill="1" applyBorder="1" applyAlignment="1">
      <alignment horizontal="center"/>
    </xf>
    <xf numFmtId="0" fontId="8" fillId="11" borderId="48" xfId="758" applyFont="1" applyFill="1" applyBorder="1" applyAlignment="1">
      <alignment horizontal="center"/>
    </xf>
    <xf numFmtId="0" fontId="8" fillId="11" borderId="48" xfId="758" applyFont="1" applyFill="1" applyBorder="1" applyAlignment="1">
      <alignment horizontal="right"/>
    </xf>
    <xf numFmtId="0" fontId="6" fillId="0" borderId="0" xfId="870"/>
    <xf numFmtId="0" fontId="6" fillId="0" borderId="11" xfId="758" applyBorder="1"/>
    <xf numFmtId="0" fontId="6" fillId="0" borderId="1" xfId="758" applyBorder="1" applyAlignment="1">
      <alignment horizontal="center"/>
    </xf>
    <xf numFmtId="0" fontId="6" fillId="0" borderId="1" xfId="758" applyBorder="1" applyAlignment="1">
      <alignment horizontal="right"/>
    </xf>
    <xf numFmtId="0" fontId="6" fillId="0" borderId="1" xfId="758" applyBorder="1"/>
    <xf numFmtId="0" fontId="6" fillId="0" borderId="11" xfId="758" applyBorder="1" applyAlignment="1">
      <alignment horizontal="center"/>
    </xf>
    <xf numFmtId="49" fontId="6" fillId="0" borderId="1" xfId="758" applyNumberFormat="1" applyBorder="1"/>
    <xf numFmtId="164" fontId="0" fillId="0" borderId="1" xfId="918" applyFont="1" applyBorder="1"/>
    <xf numFmtId="10" fontId="0" fillId="0" borderId="1" xfId="919" applyNumberFormat="1" applyFont="1" applyBorder="1"/>
    <xf numFmtId="9" fontId="6" fillId="4" borderId="1" xfId="919" applyFont="1" applyFill="1" applyBorder="1"/>
    <xf numFmtId="164" fontId="6" fillId="0" borderId="1" xfId="758" applyNumberFormat="1" applyBorder="1"/>
    <xf numFmtId="0" fontId="6" fillId="0" borderId="0" xfId="758"/>
    <xf numFmtId="164" fontId="0" fillId="0" borderId="0" xfId="918" applyFont="1"/>
    <xf numFmtId="10" fontId="0" fillId="0" borderId="6" xfId="919" applyNumberFormat="1" applyFont="1" applyBorder="1"/>
    <xf numFmtId="10" fontId="6" fillId="3" borderId="49" xfId="758" applyNumberFormat="1" applyFill="1" applyBorder="1"/>
    <xf numFmtId="10" fontId="0" fillId="0" borderId="1" xfId="1956" applyNumberFormat="1" applyFont="1" applyBorder="1"/>
    <xf numFmtId="10" fontId="35" fillId="3" borderId="1" xfId="1956" applyNumberFormat="1" applyFont="1" applyFill="1" applyBorder="1"/>
    <xf numFmtId="2" fontId="13" fillId="6" borderId="37" xfId="1957" applyNumberFormat="1" applyFont="1" applyFill="1" applyBorder="1" applyAlignment="1" applyProtection="1">
      <alignment horizontal="left" vertical="center" wrapText="1"/>
      <protection locked="0"/>
    </xf>
    <xf numFmtId="0" fontId="0" fillId="0" borderId="0" xfId="1956" applyNumberFormat="1" applyFont="1"/>
    <xf numFmtId="0" fontId="6" fillId="0" borderId="0" xfId="0" applyFont="1"/>
    <xf numFmtId="164" fontId="50" fillId="0" borderId="1" xfId="25" applyFont="1" applyFill="1" applyBorder="1" applyAlignment="1">
      <alignment horizontal="right" vertical="center" wrapText="1"/>
    </xf>
    <xf numFmtId="164" fontId="50" fillId="0" borderId="1" xfId="1955" applyNumberFormat="1" applyFont="1" applyFill="1" applyBorder="1" applyAlignment="1">
      <alignment horizontal="right" vertical="center" wrapText="1"/>
    </xf>
    <xf numFmtId="182" fontId="50" fillId="0" borderId="1" xfId="25" applyNumberFormat="1" applyFont="1" applyFill="1" applyBorder="1" applyAlignment="1">
      <alignment horizontal="right" vertical="center" wrapText="1"/>
    </xf>
    <xf numFmtId="44" fontId="0" fillId="0" borderId="0" xfId="0" applyNumberFormat="1"/>
    <xf numFmtId="44" fontId="49" fillId="4" borderId="1" xfId="0" applyNumberFormat="1" applyFont="1" applyFill="1" applyBorder="1" applyAlignment="1">
      <alignment vertical="center" wrapText="1"/>
    </xf>
    <xf numFmtId="10" fontId="49" fillId="4" borderId="17" xfId="1956" applyNumberFormat="1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2" fontId="13" fillId="0" borderId="27" xfId="1957" applyNumberFormat="1" applyFont="1" applyBorder="1" applyAlignment="1" applyProtection="1">
      <alignment horizontal="left" wrapText="1"/>
      <protection locked="0"/>
    </xf>
    <xf numFmtId="2" fontId="13" fillId="0" borderId="34" xfId="1957" applyNumberFormat="1" applyFont="1" applyBorder="1" applyAlignment="1" applyProtection="1">
      <alignment horizontal="left" wrapText="1"/>
      <protection locked="0"/>
    </xf>
    <xf numFmtId="2" fontId="13" fillId="6" borderId="30" xfId="1957" applyNumberFormat="1" applyFont="1" applyFill="1" applyBorder="1" applyAlignment="1" applyProtection="1">
      <alignment horizontal="left" wrapText="1"/>
      <protection locked="0"/>
    </xf>
    <xf numFmtId="2" fontId="13" fillId="0" borderId="0" xfId="1957" applyNumberFormat="1" applyFont="1" applyAlignment="1" applyProtection="1">
      <alignment horizontal="left" wrapText="1"/>
      <protection locked="0"/>
    </xf>
    <xf numFmtId="0" fontId="6" fillId="0" borderId="1" xfId="0" applyFont="1" applyBorder="1" applyAlignment="1">
      <alignment horizontal="left" wrapText="1"/>
    </xf>
    <xf numFmtId="0" fontId="6" fillId="0" borderId="1" xfId="173" applyBorder="1" applyAlignment="1">
      <alignment horizontal="left" wrapText="1"/>
    </xf>
    <xf numFmtId="0" fontId="53" fillId="0" borderId="0" xfId="0" applyFont="1" applyAlignment="1">
      <alignment horizontal="left" wrapText="1"/>
    </xf>
    <xf numFmtId="0" fontId="53" fillId="0" borderId="1" xfId="0" applyFont="1" applyBorder="1" applyAlignment="1">
      <alignment horizontal="center" vertical="center" wrapText="1"/>
    </xf>
    <xf numFmtId="43" fontId="0" fillId="0" borderId="0" xfId="0" applyNumberFormat="1"/>
    <xf numFmtId="2" fontId="50" fillId="0" borderId="1" xfId="25" applyNumberFormat="1" applyFont="1" applyFill="1" applyBorder="1" applyAlignment="1">
      <alignment horizontal="right" vertical="center" wrapText="1"/>
    </xf>
    <xf numFmtId="2" fontId="50" fillId="0" borderId="1" xfId="1955" applyNumberFormat="1" applyFont="1" applyFill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164" fontId="49" fillId="3" borderId="1" xfId="25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53" fillId="0" borderId="1" xfId="0" applyFont="1" applyBorder="1" applyAlignment="1">
      <alignment horizontal="left" vertical="center" wrapText="1"/>
    </xf>
    <xf numFmtId="0" fontId="53" fillId="0" borderId="5" xfId="0" applyFont="1" applyBorder="1" applyAlignment="1">
      <alignment horizontal="center" vertical="center" wrapText="1"/>
    </xf>
    <xf numFmtId="0" fontId="53" fillId="0" borderId="16" xfId="0" applyFont="1" applyBorder="1" applyAlignment="1">
      <alignment horizontal="left" vertical="center" wrapText="1"/>
    </xf>
    <xf numFmtId="0" fontId="53" fillId="0" borderId="16" xfId="0" applyFont="1" applyBorder="1" applyAlignment="1">
      <alignment horizontal="center" vertical="center" wrapText="1"/>
    </xf>
    <xf numFmtId="0" fontId="53" fillId="0" borderId="17" xfId="0" applyFont="1" applyBorder="1" applyAlignment="1">
      <alignment horizontal="center" vertical="center" wrapText="1"/>
    </xf>
    <xf numFmtId="10" fontId="8" fillId="4" borderId="46" xfId="1956" applyNumberFormat="1" applyFont="1" applyFill="1" applyBorder="1"/>
    <xf numFmtId="44" fontId="6" fillId="4" borderId="51" xfId="1955" applyFont="1" applyFill="1" applyBorder="1"/>
    <xf numFmtId="44" fontId="8" fillId="4" borderId="46" xfId="1955" applyFont="1" applyFill="1" applyBorder="1"/>
    <xf numFmtId="10" fontId="0" fillId="0" borderId="1" xfId="1956" applyNumberFormat="1" applyFont="1" applyFill="1" applyBorder="1"/>
    <xf numFmtId="2" fontId="13" fillId="0" borderId="27" xfId="1957" applyNumberFormat="1" applyFont="1" applyBorder="1" applyAlignment="1" applyProtection="1">
      <alignment vertical="center" wrapText="1"/>
      <protection locked="0"/>
    </xf>
    <xf numFmtId="10" fontId="0" fillId="0" borderId="7" xfId="0" applyNumberFormat="1" applyBorder="1"/>
    <xf numFmtId="2" fontId="13" fillId="6" borderId="30" xfId="1957" applyNumberFormat="1" applyFont="1" applyFill="1" applyBorder="1" applyAlignment="1" applyProtection="1">
      <alignment vertical="center" wrapText="1"/>
      <protection locked="0"/>
    </xf>
    <xf numFmtId="10" fontId="13" fillId="6" borderId="32" xfId="1957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wrapText="1"/>
    </xf>
    <xf numFmtId="10" fontId="0" fillId="0" borderId="33" xfId="0" applyNumberFormat="1" applyBorder="1"/>
    <xf numFmtId="2" fontId="13" fillId="0" borderId="34" xfId="1957" applyNumberFormat="1" applyFont="1" applyBorder="1" applyAlignment="1" applyProtection="1">
      <alignment horizontal="left" vertical="center" wrapText="1"/>
      <protection locked="0"/>
    </xf>
    <xf numFmtId="2" fontId="13" fillId="0" borderId="0" xfId="1957" applyNumberFormat="1" applyFont="1" applyAlignment="1" applyProtection="1">
      <alignment horizontal="left" vertical="center" wrapText="1"/>
      <protection locked="0"/>
    </xf>
    <xf numFmtId="10" fontId="13" fillId="6" borderId="37" xfId="919" applyNumberFormat="1" applyFont="1" applyFill="1" applyBorder="1" applyAlignment="1" applyProtection="1">
      <alignment vertical="center"/>
      <protection locked="0"/>
    </xf>
    <xf numFmtId="0" fontId="48" fillId="11" borderId="5" xfId="0" applyFont="1" applyFill="1" applyBorder="1" applyAlignment="1">
      <alignment horizontal="center" vertical="center"/>
    </xf>
    <xf numFmtId="10" fontId="48" fillId="11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1" xfId="173" applyFont="1" applyBorder="1" applyAlignment="1">
      <alignment horizontal="center" vertical="center" wrapText="1"/>
    </xf>
    <xf numFmtId="0" fontId="60" fillId="0" borderId="1" xfId="0" applyFont="1" applyBorder="1" applyAlignment="1">
      <alignment horizontal="left" vertical="center" wrapText="1"/>
    </xf>
    <xf numFmtId="164" fontId="60" fillId="0" borderId="1" xfId="918" quotePrefix="1" applyFont="1" applyFill="1" applyBorder="1" applyAlignment="1">
      <alignment horizontal="right" vertical="center"/>
    </xf>
    <xf numFmtId="44" fontId="60" fillId="0" borderId="1" xfId="1955" quotePrefix="1" applyFont="1" applyFill="1" applyBorder="1" applyAlignment="1">
      <alignment horizontal="right" vertical="center"/>
    </xf>
    <xf numFmtId="44" fontId="61" fillId="0" borderId="1" xfId="1955" applyFont="1" applyFill="1" applyBorder="1" applyAlignment="1">
      <alignment horizontal="right" vertical="center" wrapText="1"/>
    </xf>
    <xf numFmtId="44" fontId="61" fillId="0" borderId="1" xfId="1955" applyFont="1" applyFill="1" applyBorder="1" applyAlignment="1">
      <alignment horizontal="left" vertical="center" wrapText="1"/>
    </xf>
    <xf numFmtId="10" fontId="60" fillId="0" borderId="1" xfId="919" applyNumberFormat="1" applyFont="1" applyFill="1" applyBorder="1"/>
    <xf numFmtId="10" fontId="0" fillId="0" borderId="1" xfId="0" applyNumberFormat="1" applyBorder="1"/>
    <xf numFmtId="10" fontId="55" fillId="3" borderId="1" xfId="919" applyNumberFormat="1" applyFont="1" applyFill="1" applyBorder="1"/>
    <xf numFmtId="10" fontId="0" fillId="0" borderId="0" xfId="0" applyNumberFormat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53" fillId="0" borderId="0" xfId="0" applyNumberFormat="1" applyFont="1" applyAlignment="1">
      <alignment horizontal="center" vertical="center" wrapText="1"/>
    </xf>
    <xf numFmtId="10" fontId="53" fillId="0" borderId="0" xfId="0" applyNumberFormat="1" applyFont="1" applyAlignment="1">
      <alignment horizontal="center" vertical="center" wrapText="1"/>
    </xf>
    <xf numFmtId="164" fontId="6" fillId="0" borderId="1" xfId="918" quotePrefix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173" applyBorder="1" applyAlignment="1">
      <alignment horizontal="center" vertical="center" wrapText="1"/>
    </xf>
    <xf numFmtId="0" fontId="6" fillId="0" borderId="1" xfId="758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4" fontId="6" fillId="0" borderId="1" xfId="1955" applyFont="1" applyFill="1" applyBorder="1" applyAlignment="1">
      <alignment horizontal="right" vertical="center"/>
    </xf>
    <xf numFmtId="0" fontId="6" fillId="0" borderId="2" xfId="173" applyBorder="1" applyAlignment="1">
      <alignment horizontal="center" vertical="center" wrapText="1"/>
    </xf>
    <xf numFmtId="0" fontId="6" fillId="0" borderId="2" xfId="758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44" fontId="6" fillId="0" borderId="2" xfId="1955" applyFont="1" applyFill="1" applyBorder="1" applyAlignment="1">
      <alignment horizontal="right" vertical="center"/>
    </xf>
    <xf numFmtId="44" fontId="50" fillId="0" borderId="2" xfId="1955" applyFont="1" applyFill="1" applyBorder="1" applyAlignment="1">
      <alignment horizontal="right" vertical="center" wrapText="1"/>
    </xf>
    <xf numFmtId="0" fontId="6" fillId="0" borderId="1" xfId="758" applyBorder="1" applyAlignment="1">
      <alignment horizontal="center" vertical="center"/>
    </xf>
    <xf numFmtId="0" fontId="6" fillId="0" borderId="1" xfId="758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right" vertical="center"/>
    </xf>
    <xf numFmtId="44" fontId="6" fillId="0" borderId="2" xfId="0" applyNumberFormat="1" applyFont="1" applyBorder="1" applyAlignment="1">
      <alignment horizontal="right" vertical="center"/>
    </xf>
    <xf numFmtId="44" fontId="50" fillId="0" borderId="2" xfId="0" applyNumberFormat="1" applyFont="1" applyBorder="1" applyAlignment="1">
      <alignment horizontal="right" vertical="center" wrapText="1"/>
    </xf>
    <xf numFmtId="44" fontId="50" fillId="0" borderId="2" xfId="0" applyNumberFormat="1" applyFont="1" applyBorder="1" applyAlignment="1">
      <alignment horizontal="left" vertical="center" wrapText="1"/>
    </xf>
    <xf numFmtId="10" fontId="6" fillId="0" borderId="2" xfId="0" applyNumberFormat="1" applyFont="1" applyBorder="1"/>
    <xf numFmtId="0" fontId="0" fillId="0" borderId="0" xfId="0" applyAlignment="1">
      <alignment wrapText="1"/>
    </xf>
    <xf numFmtId="0" fontId="6" fillId="0" borderId="1" xfId="11" applyFont="1" applyBorder="1" applyAlignment="1">
      <alignment horizontal="center" vertical="center" wrapText="1"/>
    </xf>
    <xf numFmtId="0" fontId="6" fillId="0" borderId="1" xfId="173" applyBorder="1" applyAlignment="1">
      <alignment vertical="center" wrapText="1"/>
    </xf>
    <xf numFmtId="2" fontId="13" fillId="0" borderId="41" xfId="1957" applyNumberFormat="1" applyFont="1" applyBorder="1" applyAlignment="1" applyProtection="1">
      <alignment vertical="center"/>
      <protection locked="0"/>
    </xf>
    <xf numFmtId="183" fontId="0" fillId="13" borderId="1" xfId="0" applyNumberFormat="1" applyFill="1" applyBorder="1" applyAlignment="1">
      <alignment horizontal="right" vertical="center"/>
    </xf>
    <xf numFmtId="183" fontId="8" fillId="13" borderId="1" xfId="0" applyNumberFormat="1" applyFont="1" applyFill="1" applyBorder="1" applyAlignment="1">
      <alignment horizontal="left" vertical="center" wrapText="1"/>
    </xf>
    <xf numFmtId="10" fontId="6" fillId="0" borderId="1" xfId="1956" applyNumberFormat="1" applyFont="1" applyBorder="1"/>
    <xf numFmtId="44" fontId="55" fillId="3" borderId="2" xfId="0" applyNumberFormat="1" applyFont="1" applyFill="1" applyBorder="1"/>
    <xf numFmtId="10" fontId="55" fillId="3" borderId="2" xfId="1956" applyNumberFormat="1" applyFont="1" applyFill="1" applyBorder="1"/>
    <xf numFmtId="0" fontId="53" fillId="0" borderId="13" xfId="0" applyFont="1" applyBorder="1" applyAlignment="1">
      <alignment horizontal="center" vertical="center" wrapText="1"/>
    </xf>
    <xf numFmtId="0" fontId="53" fillId="0" borderId="14" xfId="0" applyFont="1" applyBorder="1" applyAlignment="1">
      <alignment horizontal="center" vertical="center" wrapText="1"/>
    </xf>
    <xf numFmtId="0" fontId="53" fillId="0" borderId="15" xfId="0" applyFont="1" applyBorder="1" applyAlignment="1">
      <alignment horizontal="center" vertical="center" wrapText="1"/>
    </xf>
    <xf numFmtId="0" fontId="53" fillId="0" borderId="6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7" xfId="0" applyFont="1" applyBorder="1" applyAlignment="1">
      <alignment horizontal="center" vertical="center" wrapText="1"/>
    </xf>
    <xf numFmtId="0" fontId="53" fillId="0" borderId="8" xfId="0" applyFont="1" applyBorder="1" applyAlignment="1">
      <alignment horizontal="center" vertical="center" wrapText="1"/>
    </xf>
    <xf numFmtId="0" fontId="53" fillId="0" borderId="9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1" fillId="3" borderId="1" xfId="0" applyFont="1" applyFill="1" applyBorder="1" applyAlignment="1">
      <alignment horizontal="right"/>
    </xf>
    <xf numFmtId="0" fontId="49" fillId="7" borderId="5" xfId="0" applyFont="1" applyFill="1" applyBorder="1" applyAlignment="1">
      <alignment horizontal="left" vertical="center" wrapText="1"/>
    </xf>
    <xf numFmtId="0" fontId="49" fillId="7" borderId="16" xfId="0" applyFont="1" applyFill="1" applyBorder="1" applyAlignment="1">
      <alignment horizontal="left" vertical="center" wrapText="1"/>
    </xf>
    <xf numFmtId="0" fontId="49" fillId="7" borderId="17" xfId="0" applyFont="1" applyFill="1" applyBorder="1" applyAlignment="1">
      <alignment horizontal="left" vertical="center" wrapText="1"/>
    </xf>
    <xf numFmtId="0" fontId="49" fillId="4" borderId="5" xfId="0" applyFont="1" applyFill="1" applyBorder="1" applyAlignment="1">
      <alignment horizontal="left" vertical="center" wrapText="1"/>
    </xf>
    <xf numFmtId="0" fontId="49" fillId="4" borderId="16" xfId="0" applyFont="1" applyFill="1" applyBorder="1" applyAlignment="1">
      <alignment horizontal="left" vertical="center" wrapText="1"/>
    </xf>
    <xf numFmtId="0" fontId="51" fillId="3" borderId="5" xfId="0" applyFont="1" applyFill="1" applyBorder="1" applyAlignment="1">
      <alignment horizontal="right"/>
    </xf>
    <xf numFmtId="0" fontId="51" fillId="3" borderId="16" xfId="0" applyFont="1" applyFill="1" applyBorder="1" applyAlignment="1">
      <alignment horizontal="right"/>
    </xf>
    <xf numFmtId="0" fontId="51" fillId="3" borderId="17" xfId="0" applyFont="1" applyFill="1" applyBorder="1" applyAlignment="1">
      <alignment horizontal="right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2" fontId="13" fillId="0" borderId="6" xfId="1957" applyNumberFormat="1" applyFont="1" applyBorder="1" applyAlignment="1" applyProtection="1">
      <alignment horizontal="left" vertical="center"/>
      <protection locked="0"/>
    </xf>
    <xf numFmtId="2" fontId="13" fillId="0" borderId="0" xfId="1957" applyNumberFormat="1" applyFont="1" applyAlignment="1" applyProtection="1">
      <alignment horizontal="left" vertical="center"/>
      <protection locked="0"/>
    </xf>
    <xf numFmtId="2" fontId="13" fillId="6" borderId="30" xfId="1957" applyNumberFormat="1" applyFont="1" applyFill="1" applyBorder="1" applyAlignment="1" applyProtection="1">
      <alignment horizontal="left" vertical="center" wrapText="1"/>
      <protection locked="0"/>
    </xf>
    <xf numFmtId="2" fontId="13" fillId="6" borderId="31" xfId="1957" applyNumberFormat="1" applyFont="1" applyFill="1" applyBorder="1" applyAlignment="1" applyProtection="1">
      <alignment horizontal="left" vertical="center" wrapText="1"/>
      <protection locked="0"/>
    </xf>
    <xf numFmtId="0" fontId="54" fillId="3" borderId="2" xfId="0" applyFont="1" applyFill="1" applyBorder="1" applyAlignment="1">
      <alignment horizontal="right"/>
    </xf>
    <xf numFmtId="2" fontId="47" fillId="8" borderId="38" xfId="1957" applyNumberFormat="1" applyFont="1" applyFill="1" applyBorder="1" applyAlignment="1" applyProtection="1">
      <alignment horizontal="center" vertical="center"/>
      <protection locked="0"/>
    </xf>
    <xf numFmtId="2" fontId="47" fillId="8" borderId="31" xfId="1957" applyNumberFormat="1" applyFont="1" applyFill="1" applyBorder="1" applyAlignment="1" applyProtection="1">
      <alignment horizontal="center" vertical="center"/>
      <protection locked="0"/>
    </xf>
    <xf numFmtId="0" fontId="52" fillId="0" borderId="5" xfId="0" applyFont="1" applyBorder="1" applyAlignment="1">
      <alignment horizontal="center"/>
    </xf>
    <xf numFmtId="0" fontId="52" fillId="0" borderId="16" xfId="0" applyFont="1" applyBorder="1" applyAlignment="1">
      <alignment horizontal="center"/>
    </xf>
    <xf numFmtId="0" fontId="52" fillId="0" borderId="17" xfId="0" applyFont="1" applyBorder="1" applyAlignment="1">
      <alignment horizontal="center"/>
    </xf>
    <xf numFmtId="2" fontId="13" fillId="0" borderId="34" xfId="1957" applyNumberFormat="1" applyFont="1" applyBorder="1" applyAlignment="1" applyProtection="1">
      <alignment horizontal="center" vertical="center" wrapText="1"/>
      <protection locked="0"/>
    </xf>
    <xf numFmtId="2" fontId="13" fillId="0" borderId="0" xfId="1957" applyNumberFormat="1" applyFont="1" applyAlignment="1" applyProtection="1">
      <alignment horizontal="center" vertical="center" wrapText="1"/>
      <protection locked="0"/>
    </xf>
    <xf numFmtId="2" fontId="13" fillId="0" borderId="7" xfId="1957" applyNumberFormat="1" applyFont="1" applyBorder="1" applyAlignment="1" applyProtection="1">
      <alignment horizontal="center" vertical="center" wrapText="1"/>
      <protection locked="0"/>
    </xf>
    <xf numFmtId="181" fontId="13" fillId="6" borderId="37" xfId="1955" applyNumberFormat="1" applyFont="1" applyFill="1" applyBorder="1" applyAlignment="1" applyProtection="1">
      <alignment horizontal="center" vertical="center" wrapText="1"/>
      <protection locked="0"/>
    </xf>
    <xf numFmtId="181" fontId="13" fillId="6" borderId="31" xfId="1955" applyNumberFormat="1" applyFont="1" applyFill="1" applyBorder="1" applyAlignment="1" applyProtection="1">
      <alignment horizontal="center" vertical="center" wrapText="1"/>
      <protection locked="0"/>
    </xf>
    <xf numFmtId="181" fontId="13" fillId="6" borderId="32" xfId="1955" applyNumberFormat="1" applyFont="1" applyFill="1" applyBorder="1" applyAlignment="1" applyProtection="1">
      <alignment horizontal="center" vertical="center" wrapText="1"/>
      <protection locked="0"/>
    </xf>
    <xf numFmtId="0" fontId="50" fillId="0" borderId="5" xfId="0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0" fontId="50" fillId="0" borderId="17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49" fillId="7" borderId="1" xfId="0" applyFont="1" applyFill="1" applyBorder="1" applyAlignment="1">
      <alignment horizontal="left" vertical="center" wrapText="1"/>
    </xf>
    <xf numFmtId="0" fontId="49" fillId="3" borderId="5" xfId="0" applyFont="1" applyFill="1" applyBorder="1" applyAlignment="1">
      <alignment horizontal="right" vertical="center" wrapText="1"/>
    </xf>
    <xf numFmtId="0" fontId="49" fillId="3" borderId="16" xfId="0" applyFont="1" applyFill="1" applyBorder="1" applyAlignment="1">
      <alignment horizontal="right" vertical="center" wrapText="1"/>
    </xf>
    <xf numFmtId="0" fontId="49" fillId="3" borderId="17" xfId="0" applyFont="1" applyFill="1" applyBorder="1" applyAlignment="1">
      <alignment horizontal="right" vertical="center" wrapText="1"/>
    </xf>
    <xf numFmtId="0" fontId="52" fillId="0" borderId="1" xfId="0" applyFont="1" applyBorder="1" applyAlignment="1">
      <alignment horizontal="center"/>
    </xf>
    <xf numFmtId="0" fontId="49" fillId="3" borderId="1" xfId="0" applyFont="1" applyFill="1" applyBorder="1" applyAlignment="1">
      <alignment horizontal="left" vertical="center" wrapText="1"/>
    </xf>
    <xf numFmtId="2" fontId="13" fillId="0" borderId="34" xfId="1957" applyNumberFormat="1" applyFont="1" applyBorder="1" applyAlignment="1" applyProtection="1">
      <alignment horizontal="left" vertical="center"/>
      <protection locked="0"/>
    </xf>
    <xf numFmtId="2" fontId="13" fillId="0" borderId="7" xfId="1957" applyNumberFormat="1" applyFont="1" applyBorder="1" applyAlignment="1" applyProtection="1">
      <alignment horizontal="left" vertical="center"/>
      <protection locked="0"/>
    </xf>
    <xf numFmtId="2" fontId="13" fillId="6" borderId="37" xfId="1957" applyNumberFormat="1" applyFont="1" applyFill="1" applyBorder="1" applyAlignment="1" applyProtection="1">
      <alignment horizontal="left" vertical="center"/>
      <protection locked="0"/>
    </xf>
    <xf numFmtId="2" fontId="13" fillId="6" borderId="31" xfId="1957" applyNumberFormat="1" applyFont="1" applyFill="1" applyBorder="1" applyAlignment="1" applyProtection="1">
      <alignment horizontal="left" vertical="center"/>
      <protection locked="0"/>
    </xf>
    <xf numFmtId="2" fontId="13" fillId="6" borderId="32" xfId="1957" applyNumberFormat="1" applyFont="1" applyFill="1" applyBorder="1" applyAlignment="1" applyProtection="1">
      <alignment horizontal="left" vertical="center"/>
      <protection locked="0"/>
    </xf>
    <xf numFmtId="2" fontId="56" fillId="8" borderId="38" xfId="1957" applyNumberFormat="1" applyFont="1" applyFill="1" applyBorder="1" applyAlignment="1" applyProtection="1">
      <alignment horizontal="center" vertical="center"/>
      <protection locked="0"/>
    </xf>
    <xf numFmtId="2" fontId="56" fillId="8" borderId="31" xfId="1957" applyNumberFormat="1" applyFont="1" applyFill="1" applyBorder="1" applyAlignment="1" applyProtection="1">
      <alignment horizontal="center" vertical="center"/>
      <protection locked="0"/>
    </xf>
    <xf numFmtId="0" fontId="36" fillId="9" borderId="18" xfId="173" applyFont="1" applyFill="1" applyBorder="1" applyAlignment="1" applyProtection="1">
      <alignment horizontal="center" vertical="center"/>
      <protection hidden="1"/>
    </xf>
    <xf numFmtId="0" fontId="36" fillId="9" borderId="19" xfId="173" applyFont="1" applyFill="1" applyBorder="1" applyAlignment="1" applyProtection="1">
      <alignment horizontal="center" vertical="center"/>
      <protection hidden="1"/>
    </xf>
    <xf numFmtId="0" fontId="36" fillId="9" borderId="20" xfId="173" applyFont="1" applyFill="1" applyBorder="1" applyAlignment="1" applyProtection="1">
      <alignment horizontal="center" vertical="center"/>
      <protection hidden="1"/>
    </xf>
    <xf numFmtId="0" fontId="37" fillId="0" borderId="21" xfId="173" applyFont="1" applyBorder="1" applyAlignment="1" applyProtection="1">
      <alignment horizontal="center" vertical="center"/>
      <protection hidden="1"/>
    </xf>
    <xf numFmtId="0" fontId="37" fillId="0" borderId="22" xfId="173" applyFont="1" applyBorder="1" applyAlignment="1" applyProtection="1">
      <alignment horizontal="center" vertical="center"/>
      <protection hidden="1"/>
    </xf>
    <xf numFmtId="0" fontId="37" fillId="0" borderId="23" xfId="173" applyFont="1" applyBorder="1" applyAlignment="1" applyProtection="1">
      <alignment horizontal="center" vertical="center"/>
      <protection hidden="1"/>
    </xf>
    <xf numFmtId="0" fontId="37" fillId="0" borderId="24" xfId="173" applyFont="1" applyBorder="1" applyAlignment="1" applyProtection="1">
      <alignment horizontal="left" vertical="center" wrapText="1"/>
      <protection hidden="1"/>
    </xf>
    <xf numFmtId="0" fontId="37" fillId="0" borderId="25" xfId="173" applyFont="1" applyBorder="1" applyAlignment="1" applyProtection="1">
      <alignment horizontal="left" vertical="center" wrapText="1"/>
      <protection hidden="1"/>
    </xf>
    <xf numFmtId="0" fontId="37" fillId="0" borderId="26" xfId="173" applyFont="1" applyBorder="1" applyAlignment="1" applyProtection="1">
      <alignment horizontal="left" vertical="center" wrapText="1"/>
      <protection hidden="1"/>
    </xf>
    <xf numFmtId="49" fontId="37" fillId="0" borderId="24" xfId="173" applyNumberFormat="1" applyFont="1" applyBorder="1" applyAlignment="1">
      <alignment horizontal="left"/>
    </xf>
    <xf numFmtId="49" fontId="37" fillId="0" borderId="25" xfId="173" applyNumberFormat="1" applyFont="1" applyBorder="1" applyAlignment="1">
      <alignment horizontal="left"/>
    </xf>
    <xf numFmtId="49" fontId="37" fillId="0" borderId="26" xfId="173" applyNumberFormat="1" applyFont="1" applyBorder="1" applyAlignment="1">
      <alignment horizontal="left"/>
    </xf>
    <xf numFmtId="0" fontId="37" fillId="0" borderId="6" xfId="173" applyFont="1" applyBorder="1" applyAlignment="1">
      <alignment horizontal="left" vertical="center" wrapText="1"/>
    </xf>
    <xf numFmtId="0" fontId="37" fillId="0" borderId="0" xfId="173" applyFont="1" applyAlignment="1">
      <alignment horizontal="left" vertical="center" wrapText="1"/>
    </xf>
    <xf numFmtId="0" fontId="37" fillId="0" borderId="7" xfId="173" applyFont="1" applyBorder="1" applyAlignment="1">
      <alignment horizontal="left" vertical="center" wrapText="1"/>
    </xf>
    <xf numFmtId="0" fontId="37" fillId="0" borderId="8" xfId="173" applyFont="1" applyBorder="1" applyAlignment="1">
      <alignment horizontal="left" vertical="center" wrapText="1"/>
    </xf>
    <xf numFmtId="0" fontId="37" fillId="0" borderId="9" xfId="173" applyFont="1" applyBorder="1" applyAlignment="1">
      <alignment horizontal="left" vertical="center" wrapText="1"/>
    </xf>
    <xf numFmtId="0" fontId="37" fillId="0" borderId="10" xfId="173" applyFont="1" applyBorder="1" applyAlignment="1">
      <alignment horizontal="left" vertical="center" wrapText="1"/>
    </xf>
    <xf numFmtId="0" fontId="45" fillId="0" borderId="5" xfId="0" applyFont="1" applyBorder="1" applyAlignment="1">
      <alignment horizontal="center" vertical="top" wrapText="1"/>
    </xf>
    <xf numFmtId="0" fontId="45" fillId="0" borderId="17" xfId="0" applyFont="1" applyBorder="1" applyAlignment="1">
      <alignment horizontal="center" vertical="top" wrapText="1"/>
    </xf>
    <xf numFmtId="0" fontId="45" fillId="0" borderId="5" xfId="0" applyFont="1" applyBorder="1" applyAlignment="1">
      <alignment horizontal="right" wrapText="1"/>
    </xf>
    <xf numFmtId="0" fontId="45" fillId="0" borderId="16" xfId="0" applyFont="1" applyBorder="1" applyAlignment="1">
      <alignment horizontal="right" wrapText="1"/>
    </xf>
    <xf numFmtId="0" fontId="45" fillId="0" borderId="17" xfId="0" applyFont="1" applyBorder="1" applyAlignment="1">
      <alignment horizontal="right" wrapText="1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43" fillId="3" borderId="6" xfId="0" applyFont="1" applyFill="1" applyBorder="1" applyAlignment="1">
      <alignment horizontal="center" vertical="center" wrapText="1"/>
    </xf>
    <xf numFmtId="0" fontId="43" fillId="3" borderId="0" xfId="0" applyFont="1" applyFill="1" applyAlignment="1">
      <alignment horizontal="center" vertical="center" wrapText="1"/>
    </xf>
    <xf numFmtId="0" fontId="43" fillId="0" borderId="5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1" fillId="0" borderId="37" xfId="0" applyFont="1" applyBorder="1" applyAlignment="1">
      <alignment horizontal="center"/>
    </xf>
    <xf numFmtId="0" fontId="41" fillId="0" borderId="31" xfId="0" applyFont="1" applyBorder="1" applyAlignment="1">
      <alignment horizontal="center"/>
    </xf>
    <xf numFmtId="0" fontId="42" fillId="11" borderId="5" xfId="0" applyFont="1" applyFill="1" applyBorder="1" applyAlignment="1">
      <alignment horizontal="center" vertical="center" wrapText="1"/>
    </xf>
    <xf numFmtId="0" fontId="42" fillId="11" borderId="16" xfId="0" applyFont="1" applyFill="1" applyBorder="1" applyAlignment="1">
      <alignment horizontal="center" vertical="center" wrapText="1"/>
    </xf>
    <xf numFmtId="0" fontId="42" fillId="11" borderId="17" xfId="0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wrapText="1"/>
    </xf>
    <xf numFmtId="2" fontId="13" fillId="0" borderId="0" xfId="1957" applyNumberFormat="1" applyFont="1" applyAlignment="1" applyProtection="1">
      <alignment horizontal="center" vertical="center"/>
      <protection locked="0"/>
    </xf>
    <xf numFmtId="2" fontId="13" fillId="6" borderId="36" xfId="1957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2" fontId="13" fillId="0" borderId="34" xfId="1957" applyNumberFormat="1" applyFont="1" applyBorder="1" applyAlignment="1" applyProtection="1">
      <alignment horizontal="center" vertical="center"/>
      <protection locked="0"/>
    </xf>
    <xf numFmtId="181" fontId="6" fillId="6" borderId="37" xfId="1955" applyNumberFormat="1" applyFont="1" applyFill="1" applyBorder="1" applyAlignment="1" applyProtection="1">
      <alignment horizontal="center" vertical="center" wrapText="1"/>
      <protection locked="0"/>
    </xf>
    <xf numFmtId="181" fontId="6" fillId="6" borderId="31" xfId="1955" applyNumberFormat="1" applyFont="1" applyFill="1" applyBorder="1" applyAlignment="1" applyProtection="1">
      <alignment horizontal="center" vertical="center" wrapText="1"/>
      <protection locked="0"/>
    </xf>
    <xf numFmtId="0" fontId="57" fillId="8" borderId="34" xfId="0" applyFont="1" applyFill="1" applyBorder="1" applyAlignment="1">
      <alignment horizontal="center" vertical="center"/>
    </xf>
    <xf numFmtId="0" fontId="57" fillId="8" borderId="0" xfId="0" applyFont="1" applyFill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6" fillId="4" borderId="49" xfId="758" applyFill="1" applyBorder="1" applyAlignment="1">
      <alignment horizontal="right"/>
    </xf>
    <xf numFmtId="0" fontId="6" fillId="4" borderId="45" xfId="758" applyFill="1" applyBorder="1" applyAlignment="1">
      <alignment horizontal="right"/>
    </xf>
    <xf numFmtId="0" fontId="6" fillId="4" borderId="50" xfId="758" applyFill="1" applyBorder="1" applyAlignment="1">
      <alignment horizontal="right"/>
    </xf>
    <xf numFmtId="2" fontId="13" fillId="6" borderId="28" xfId="1957" applyNumberFormat="1" applyFont="1" applyFill="1" applyBorder="1" applyAlignment="1" applyProtection="1">
      <alignment horizontal="left" vertical="center"/>
      <protection locked="0"/>
    </xf>
    <xf numFmtId="2" fontId="13" fillId="6" borderId="43" xfId="1957" applyNumberFormat="1" applyFont="1" applyFill="1" applyBorder="1" applyAlignment="1" applyProtection="1">
      <alignment horizontal="left" vertical="center"/>
      <protection locked="0"/>
    </xf>
    <xf numFmtId="0" fontId="6" fillId="4" borderId="49" xfId="758" applyFill="1" applyBorder="1" applyAlignment="1">
      <alignment horizontal="center"/>
    </xf>
    <xf numFmtId="0" fontId="6" fillId="4" borderId="50" xfId="758" applyFill="1" applyBorder="1" applyAlignment="1">
      <alignment horizontal="center"/>
    </xf>
    <xf numFmtId="0" fontId="57" fillId="8" borderId="1" xfId="0" applyFont="1" applyFill="1" applyBorder="1" applyAlignment="1">
      <alignment horizontal="center" vertical="center"/>
    </xf>
    <xf numFmtId="0" fontId="8" fillId="11" borderId="44" xfId="758" applyFont="1" applyFill="1" applyBorder="1" applyAlignment="1">
      <alignment horizontal="center"/>
    </xf>
    <xf numFmtId="0" fontId="8" fillId="11" borderId="9" xfId="758" applyFont="1" applyFill="1" applyBorder="1" applyAlignment="1">
      <alignment horizontal="center"/>
    </xf>
    <xf numFmtId="2" fontId="47" fillId="8" borderId="0" xfId="1957" applyNumberFormat="1" applyFont="1" applyFill="1" applyAlignment="1" applyProtection="1">
      <alignment horizontal="center" vertical="center"/>
      <protection locked="0"/>
    </xf>
    <xf numFmtId="0" fontId="54" fillId="3" borderId="1" xfId="0" applyFont="1" applyFill="1" applyBorder="1" applyAlignment="1">
      <alignment horizontal="right"/>
    </xf>
    <xf numFmtId="0" fontId="62" fillId="0" borderId="0" xfId="0" applyFont="1" applyAlignment="1">
      <alignment horizontal="left" vertical="top" wrapText="1"/>
    </xf>
    <xf numFmtId="0" fontId="48" fillId="11" borderId="1" xfId="0" applyFont="1" applyFill="1" applyBorder="1" applyAlignment="1">
      <alignment horizontal="center" vertical="center" wrapText="1"/>
    </xf>
    <xf numFmtId="2" fontId="13" fillId="0" borderId="41" xfId="1957" applyNumberFormat="1" applyFont="1" applyBorder="1" applyAlignment="1" applyProtection="1">
      <alignment horizontal="center" vertical="center"/>
      <protection locked="0"/>
    </xf>
    <xf numFmtId="181" fontId="13" fillId="6" borderId="37" xfId="1955" applyNumberFormat="1" applyFont="1" applyFill="1" applyBorder="1" applyAlignment="1" applyProtection="1">
      <alignment horizontal="center" vertical="center"/>
      <protection locked="0"/>
    </xf>
    <xf numFmtId="181" fontId="13" fillId="6" borderId="36" xfId="1955" applyNumberFormat="1" applyFont="1" applyFill="1" applyBorder="1" applyAlignment="1" applyProtection="1">
      <alignment horizontal="center" vertical="center"/>
      <protection locked="0"/>
    </xf>
    <xf numFmtId="181" fontId="13" fillId="12" borderId="37" xfId="1955" applyNumberFormat="1" applyFont="1" applyFill="1" applyBorder="1" applyAlignment="1" applyProtection="1">
      <alignment horizontal="center" vertical="center" wrapText="1"/>
      <protection locked="0"/>
    </xf>
    <xf numFmtId="181" fontId="13" fillId="12" borderId="31" xfId="1955" applyNumberFormat="1" applyFont="1" applyFill="1" applyBorder="1" applyAlignment="1" applyProtection="1">
      <alignment horizontal="center" vertical="center" wrapText="1"/>
      <protection locked="0"/>
    </xf>
    <xf numFmtId="181" fontId="13" fillId="12" borderId="32" xfId="1955" applyNumberFormat="1" applyFont="1" applyFill="1" applyBorder="1" applyAlignment="1" applyProtection="1">
      <alignment horizontal="center" vertical="center" wrapText="1"/>
      <protection locked="0"/>
    </xf>
    <xf numFmtId="0" fontId="4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wrapText="1"/>
    </xf>
  </cellXfs>
  <cellStyles count="1958">
    <cellStyle name="_x000d__x000a_JournalTemplate=C:\COMFO\CTALK\JOURSTD.TPL_x000d__x000a_LbStateAddress=3 3 0 251 1 89 2 311_x000d__x000a_LbStateJou" xfId="77" xr:uid="{00000000-0005-0000-0000-000000000000}"/>
    <cellStyle name="20% - Ênfase1 100" xfId="1" xr:uid="{00000000-0005-0000-0000-000001000000}"/>
    <cellStyle name="60% - Ênfase6 37" xfId="2" xr:uid="{00000000-0005-0000-0000-000002000000}"/>
    <cellStyle name="Comma_Arauco Piping list" xfId="78" xr:uid="{00000000-0005-0000-0000-000003000000}"/>
    <cellStyle name="Comma0" xfId="79" xr:uid="{00000000-0005-0000-0000-000004000000}"/>
    <cellStyle name="CORES" xfId="80" xr:uid="{00000000-0005-0000-0000-000005000000}"/>
    <cellStyle name="Currency [0]_Arauco Piping list" xfId="81" xr:uid="{00000000-0005-0000-0000-000006000000}"/>
    <cellStyle name="Currency_Arauco Piping list" xfId="82" xr:uid="{00000000-0005-0000-0000-000007000000}"/>
    <cellStyle name="Currency0" xfId="83" xr:uid="{00000000-0005-0000-0000-000008000000}"/>
    <cellStyle name="Data" xfId="84" xr:uid="{00000000-0005-0000-0000-000009000000}"/>
    <cellStyle name="Date" xfId="85" xr:uid="{00000000-0005-0000-0000-00000A000000}"/>
    <cellStyle name="Excel Built-in Excel Built-in Excel Built-in Excel Built-in Excel Built-in Excel Built-in Excel Built-in Excel Built-in Separador de milhares 4" xfId="3" xr:uid="{00000000-0005-0000-0000-00000B000000}"/>
    <cellStyle name="Excel Built-in Excel Built-in Excel Built-in Excel Built-in Excel Built-in Excel Built-in Excel Built-in Separador de milhares 4" xfId="4" xr:uid="{00000000-0005-0000-0000-00000C000000}"/>
    <cellStyle name="Excel Built-in Normal" xfId="5" xr:uid="{00000000-0005-0000-0000-00000D000000}"/>
    <cellStyle name="Excel Built-in Normal 1" xfId="6" xr:uid="{00000000-0005-0000-0000-00000E000000}"/>
    <cellStyle name="Excel Built-in Normal 2" xfId="7" xr:uid="{00000000-0005-0000-0000-00000F000000}"/>
    <cellStyle name="Excel Built-in Normal 3" xfId="86" xr:uid="{00000000-0005-0000-0000-000010000000}"/>
    <cellStyle name="Excel_BuiltIn_Comma" xfId="8" xr:uid="{00000000-0005-0000-0000-000011000000}"/>
    <cellStyle name="Fixed" xfId="87" xr:uid="{00000000-0005-0000-0000-000012000000}"/>
    <cellStyle name="Fixo" xfId="88" xr:uid="{00000000-0005-0000-0000-000013000000}"/>
    <cellStyle name="Followed Hyperlink" xfId="89" xr:uid="{00000000-0005-0000-0000-000014000000}"/>
    <cellStyle name="Grey" xfId="90" xr:uid="{00000000-0005-0000-0000-000015000000}"/>
    <cellStyle name="Heading" xfId="9" xr:uid="{00000000-0005-0000-0000-000016000000}"/>
    <cellStyle name="Heading 1" xfId="91" xr:uid="{00000000-0005-0000-0000-000017000000}"/>
    <cellStyle name="Heading 2" xfId="92" xr:uid="{00000000-0005-0000-0000-000018000000}"/>
    <cellStyle name="Heading1" xfId="10" xr:uid="{00000000-0005-0000-0000-000019000000}"/>
    <cellStyle name="Hiperlink 2" xfId="93" xr:uid="{00000000-0005-0000-0000-00001A000000}"/>
    <cellStyle name="Indefinido" xfId="94" xr:uid="{00000000-0005-0000-0000-00001B000000}"/>
    <cellStyle name="Input [yellow]" xfId="95" xr:uid="{00000000-0005-0000-0000-00001C000000}"/>
    <cellStyle name="material" xfId="96" xr:uid="{00000000-0005-0000-0000-00001D000000}"/>
    <cellStyle name="material 2" xfId="417" xr:uid="{00000000-0005-0000-0000-00001E000000}"/>
    <cellStyle name="material 2 2" xfId="976" xr:uid="{00000000-0005-0000-0000-00001F000000}"/>
    <cellStyle name="material 3" xfId="358" xr:uid="{00000000-0005-0000-0000-000020000000}"/>
    <cellStyle name="material 4" xfId="242" xr:uid="{00000000-0005-0000-0000-000021000000}"/>
    <cellStyle name="MINIPG" xfId="97" xr:uid="{00000000-0005-0000-0000-000022000000}"/>
    <cellStyle name="Moeda" xfId="1955" builtinId="4"/>
    <cellStyle name="Moeda 2" xfId="98" xr:uid="{00000000-0005-0000-0000-000024000000}"/>
    <cellStyle name="Normal" xfId="0" builtinId="0"/>
    <cellStyle name="Normal - Style1" xfId="99" xr:uid="{00000000-0005-0000-0000-000026000000}"/>
    <cellStyle name="Normal 10" xfId="100" xr:uid="{00000000-0005-0000-0000-000027000000}"/>
    <cellStyle name="Normal 10 2" xfId="187" xr:uid="{00000000-0005-0000-0000-000028000000}"/>
    <cellStyle name="Normal 10 2 2" xfId="927" xr:uid="{00000000-0005-0000-0000-000029000000}"/>
    <cellStyle name="Normal 10 3" xfId="870" xr:uid="{00000000-0005-0000-0000-00002A000000}"/>
    <cellStyle name="Normal 100" xfId="869" xr:uid="{00000000-0005-0000-0000-00002B000000}"/>
    <cellStyle name="Normal 101" xfId="1189" xr:uid="{00000000-0005-0000-0000-00002C000000}"/>
    <cellStyle name="Normal 102" xfId="1192" xr:uid="{00000000-0005-0000-0000-00002D000000}"/>
    <cellStyle name="Normal 103" xfId="1926" xr:uid="{00000000-0005-0000-0000-00002E000000}"/>
    <cellStyle name="Normal 104" xfId="1931" xr:uid="{00000000-0005-0000-0000-00002F000000}"/>
    <cellStyle name="Normal 105" xfId="1935" xr:uid="{00000000-0005-0000-0000-000030000000}"/>
    <cellStyle name="Normal 106" xfId="1941" xr:uid="{00000000-0005-0000-0000-000031000000}"/>
    <cellStyle name="Normal 107" xfId="1948" xr:uid="{00000000-0005-0000-0000-000032000000}"/>
    <cellStyle name="Normal 108" xfId="1932" xr:uid="{00000000-0005-0000-0000-000033000000}"/>
    <cellStyle name="Normal 109" xfId="1951" xr:uid="{00000000-0005-0000-0000-000034000000}"/>
    <cellStyle name="Normal 11" xfId="101" xr:uid="{00000000-0005-0000-0000-000035000000}"/>
    <cellStyle name="Normal 11 2" xfId="188" xr:uid="{00000000-0005-0000-0000-000036000000}"/>
    <cellStyle name="Normal 11 2 2" xfId="928" xr:uid="{00000000-0005-0000-0000-000037000000}"/>
    <cellStyle name="Normal 11 3" xfId="871" xr:uid="{00000000-0005-0000-0000-000038000000}"/>
    <cellStyle name="Normal 110" xfId="1946" xr:uid="{00000000-0005-0000-0000-000039000000}"/>
    <cellStyle name="Normal 111" xfId="1927" xr:uid="{00000000-0005-0000-0000-00003A000000}"/>
    <cellStyle name="Normal 112" xfId="1953" xr:uid="{00000000-0005-0000-0000-00003B000000}"/>
    <cellStyle name="Normal 113" xfId="1949" xr:uid="{00000000-0005-0000-0000-00003C000000}"/>
    <cellStyle name="Normal 114" xfId="1943" xr:uid="{00000000-0005-0000-0000-00003D000000}"/>
    <cellStyle name="Normal 115" xfId="1934" xr:uid="{00000000-0005-0000-0000-00003E000000}"/>
    <cellStyle name="Normal 116" xfId="1930" xr:uid="{00000000-0005-0000-0000-00003F000000}"/>
    <cellStyle name="Normal 117" xfId="1936" xr:uid="{00000000-0005-0000-0000-000040000000}"/>
    <cellStyle name="Normal 118" xfId="1929" xr:uid="{00000000-0005-0000-0000-000041000000}"/>
    <cellStyle name="Normal 119" xfId="1940" xr:uid="{00000000-0005-0000-0000-000042000000}"/>
    <cellStyle name="Normal 12" xfId="102" xr:uid="{00000000-0005-0000-0000-000043000000}"/>
    <cellStyle name="Normal 12 2" xfId="418" xr:uid="{00000000-0005-0000-0000-000044000000}"/>
    <cellStyle name="Normal 12 2 2" xfId="977" xr:uid="{00000000-0005-0000-0000-000045000000}"/>
    <cellStyle name="Normal 12 3" xfId="359" xr:uid="{00000000-0005-0000-0000-000046000000}"/>
    <cellStyle name="Normal 12 4" xfId="243" xr:uid="{00000000-0005-0000-0000-000047000000}"/>
    <cellStyle name="Normal 120" xfId="1928" xr:uid="{00000000-0005-0000-0000-000048000000}"/>
    <cellStyle name="Normal 121" xfId="1937" xr:uid="{00000000-0005-0000-0000-000049000000}"/>
    <cellStyle name="Normal 122" xfId="1952" xr:uid="{00000000-0005-0000-0000-00004A000000}"/>
    <cellStyle name="Normal 123" xfId="1933" xr:uid="{00000000-0005-0000-0000-00004B000000}"/>
    <cellStyle name="Normal 124" xfId="1954" xr:uid="{00000000-0005-0000-0000-00004C000000}"/>
    <cellStyle name="Normal 125" xfId="1944" xr:uid="{00000000-0005-0000-0000-00004D000000}"/>
    <cellStyle name="Normal 126" xfId="1945" xr:uid="{00000000-0005-0000-0000-00004E000000}"/>
    <cellStyle name="Normal 127" xfId="1938" xr:uid="{00000000-0005-0000-0000-00004F000000}"/>
    <cellStyle name="Normal 128" xfId="1950" xr:uid="{00000000-0005-0000-0000-000050000000}"/>
    <cellStyle name="Normal 129" xfId="1939" xr:uid="{00000000-0005-0000-0000-000051000000}"/>
    <cellStyle name="Normal 13" xfId="103" xr:uid="{00000000-0005-0000-0000-000052000000}"/>
    <cellStyle name="Normal 13 10" xfId="1194" xr:uid="{00000000-0005-0000-0000-000053000000}"/>
    <cellStyle name="Normal 13 2" xfId="104" xr:uid="{00000000-0005-0000-0000-000054000000}"/>
    <cellStyle name="Normal 13 2 2" xfId="420" xr:uid="{00000000-0005-0000-0000-000055000000}"/>
    <cellStyle name="Normal 13 2 2 2" xfId="625" xr:uid="{00000000-0005-0000-0000-000056000000}"/>
    <cellStyle name="Normal 13 2 2 2 2" xfId="1091" xr:uid="{00000000-0005-0000-0000-000057000000}"/>
    <cellStyle name="Normal 13 2 2 2 2 2" xfId="1239" xr:uid="{00000000-0005-0000-0000-000058000000}"/>
    <cellStyle name="Normal 13 2 2 2 3" xfId="1238" xr:uid="{00000000-0005-0000-0000-000059000000}"/>
    <cellStyle name="Normal 13 2 2 3" xfId="776" xr:uid="{00000000-0005-0000-0000-00005A000000}"/>
    <cellStyle name="Normal 13 2 2 3 2" xfId="1240" xr:uid="{00000000-0005-0000-0000-00005B000000}"/>
    <cellStyle name="Normal 13 2 2 4" xfId="1237" xr:uid="{00000000-0005-0000-0000-00005C000000}"/>
    <cellStyle name="Normal 13 2 3" xfId="527" xr:uid="{00000000-0005-0000-0000-00005D000000}"/>
    <cellStyle name="Normal 13 2 3 2" xfId="669" xr:uid="{00000000-0005-0000-0000-00005E000000}"/>
    <cellStyle name="Normal 13 2 3 2 2" xfId="1134" xr:uid="{00000000-0005-0000-0000-00005F000000}"/>
    <cellStyle name="Normal 13 2 3 2 2 2" xfId="1243" xr:uid="{00000000-0005-0000-0000-000060000000}"/>
    <cellStyle name="Normal 13 2 3 2 3" xfId="1242" xr:uid="{00000000-0005-0000-0000-000061000000}"/>
    <cellStyle name="Normal 13 2 3 3" xfId="822" xr:uid="{00000000-0005-0000-0000-000062000000}"/>
    <cellStyle name="Normal 13 2 3 3 2" xfId="1244" xr:uid="{00000000-0005-0000-0000-000063000000}"/>
    <cellStyle name="Normal 13 2 3 4" xfId="1241" xr:uid="{00000000-0005-0000-0000-000064000000}"/>
    <cellStyle name="Normal 13 2 4" xfId="361" xr:uid="{00000000-0005-0000-0000-000065000000}"/>
    <cellStyle name="Normal 13 2 4 2" xfId="932" xr:uid="{00000000-0005-0000-0000-000066000000}"/>
    <cellStyle name="Normal 13 2 4 2 2" xfId="1246" xr:uid="{00000000-0005-0000-0000-000067000000}"/>
    <cellStyle name="Normal 13 2 4 3" xfId="1245" xr:uid="{00000000-0005-0000-0000-000068000000}"/>
    <cellStyle name="Normal 13 2 5" xfId="579" xr:uid="{00000000-0005-0000-0000-000069000000}"/>
    <cellStyle name="Normal 13 2 5 2" xfId="1045" xr:uid="{00000000-0005-0000-0000-00006A000000}"/>
    <cellStyle name="Normal 13 2 5 2 2" xfId="1248" xr:uid="{00000000-0005-0000-0000-00006B000000}"/>
    <cellStyle name="Normal 13 2 5 3" xfId="1247" xr:uid="{00000000-0005-0000-0000-00006C000000}"/>
    <cellStyle name="Normal 13 2 6" xfId="245" xr:uid="{00000000-0005-0000-0000-00006D000000}"/>
    <cellStyle name="Normal 13 2 6 2" xfId="873" xr:uid="{00000000-0005-0000-0000-00006E000000}"/>
    <cellStyle name="Normal 13 2 6 2 2" xfId="1250" xr:uid="{00000000-0005-0000-0000-00006F000000}"/>
    <cellStyle name="Normal 13 2 6 3" xfId="1249" xr:uid="{00000000-0005-0000-0000-000070000000}"/>
    <cellStyle name="Normal 13 2 7" xfId="728" xr:uid="{00000000-0005-0000-0000-000071000000}"/>
    <cellStyle name="Normal 13 2 7 2" xfId="1251" xr:uid="{00000000-0005-0000-0000-000072000000}"/>
    <cellStyle name="Normal 13 2 8" xfId="1195" xr:uid="{00000000-0005-0000-0000-000073000000}"/>
    <cellStyle name="Normal 13 3" xfId="105" xr:uid="{00000000-0005-0000-0000-000074000000}"/>
    <cellStyle name="Normal 13 3 2" xfId="421" xr:uid="{00000000-0005-0000-0000-000075000000}"/>
    <cellStyle name="Normal 13 3 2 2" xfId="626" xr:uid="{00000000-0005-0000-0000-000076000000}"/>
    <cellStyle name="Normal 13 3 2 2 2" xfId="1092" xr:uid="{00000000-0005-0000-0000-000077000000}"/>
    <cellStyle name="Normal 13 3 2 2 2 2" xfId="1254" xr:uid="{00000000-0005-0000-0000-000078000000}"/>
    <cellStyle name="Normal 13 3 2 2 3" xfId="1253" xr:uid="{00000000-0005-0000-0000-000079000000}"/>
    <cellStyle name="Normal 13 3 2 3" xfId="777" xr:uid="{00000000-0005-0000-0000-00007A000000}"/>
    <cellStyle name="Normal 13 3 2 3 2" xfId="1255" xr:uid="{00000000-0005-0000-0000-00007B000000}"/>
    <cellStyle name="Normal 13 3 2 4" xfId="1252" xr:uid="{00000000-0005-0000-0000-00007C000000}"/>
    <cellStyle name="Normal 13 3 3" xfId="528" xr:uid="{00000000-0005-0000-0000-00007D000000}"/>
    <cellStyle name="Normal 13 3 3 2" xfId="670" xr:uid="{00000000-0005-0000-0000-00007E000000}"/>
    <cellStyle name="Normal 13 3 3 2 2" xfId="1135" xr:uid="{00000000-0005-0000-0000-00007F000000}"/>
    <cellStyle name="Normal 13 3 3 2 2 2" xfId="1258" xr:uid="{00000000-0005-0000-0000-000080000000}"/>
    <cellStyle name="Normal 13 3 3 2 3" xfId="1257" xr:uid="{00000000-0005-0000-0000-000081000000}"/>
    <cellStyle name="Normal 13 3 3 3" xfId="823" xr:uid="{00000000-0005-0000-0000-000082000000}"/>
    <cellStyle name="Normal 13 3 3 3 2" xfId="1259" xr:uid="{00000000-0005-0000-0000-000083000000}"/>
    <cellStyle name="Normal 13 3 3 4" xfId="1256" xr:uid="{00000000-0005-0000-0000-000084000000}"/>
    <cellStyle name="Normal 13 3 4" xfId="362" xr:uid="{00000000-0005-0000-0000-000085000000}"/>
    <cellStyle name="Normal 13 3 4 2" xfId="933" xr:uid="{00000000-0005-0000-0000-000086000000}"/>
    <cellStyle name="Normal 13 3 4 2 2" xfId="1261" xr:uid="{00000000-0005-0000-0000-000087000000}"/>
    <cellStyle name="Normal 13 3 4 3" xfId="1260" xr:uid="{00000000-0005-0000-0000-000088000000}"/>
    <cellStyle name="Normal 13 3 5" xfId="580" xr:uid="{00000000-0005-0000-0000-000089000000}"/>
    <cellStyle name="Normal 13 3 5 2" xfId="1046" xr:uid="{00000000-0005-0000-0000-00008A000000}"/>
    <cellStyle name="Normal 13 3 5 2 2" xfId="1263" xr:uid="{00000000-0005-0000-0000-00008B000000}"/>
    <cellStyle name="Normal 13 3 5 3" xfId="1262" xr:uid="{00000000-0005-0000-0000-00008C000000}"/>
    <cellStyle name="Normal 13 3 6" xfId="246" xr:uid="{00000000-0005-0000-0000-00008D000000}"/>
    <cellStyle name="Normal 13 3 6 2" xfId="874" xr:uid="{00000000-0005-0000-0000-00008E000000}"/>
    <cellStyle name="Normal 13 3 6 2 2" xfId="1265" xr:uid="{00000000-0005-0000-0000-00008F000000}"/>
    <cellStyle name="Normal 13 3 6 3" xfId="1264" xr:uid="{00000000-0005-0000-0000-000090000000}"/>
    <cellStyle name="Normal 13 3 7" xfId="729" xr:uid="{00000000-0005-0000-0000-000091000000}"/>
    <cellStyle name="Normal 13 3 7 2" xfId="1266" xr:uid="{00000000-0005-0000-0000-000092000000}"/>
    <cellStyle name="Normal 13 3 8" xfId="1196" xr:uid="{00000000-0005-0000-0000-000093000000}"/>
    <cellStyle name="Normal 13 4" xfId="180" xr:uid="{00000000-0005-0000-0000-000094000000}"/>
    <cellStyle name="Normal 13 4 2" xfId="299" xr:uid="{00000000-0005-0000-0000-000095000000}"/>
    <cellStyle name="Normal 13 4 2 2" xfId="524" xr:uid="{00000000-0005-0000-0000-000096000000}"/>
    <cellStyle name="Normal 13 4 2 2 2" xfId="1041" xr:uid="{00000000-0005-0000-0000-000097000000}"/>
    <cellStyle name="Normal 13 4 2 2 2 2" xfId="1269" xr:uid="{00000000-0005-0000-0000-000098000000}"/>
    <cellStyle name="Normal 13 4 2 2 3" xfId="1268" xr:uid="{00000000-0005-0000-0000-000099000000}"/>
    <cellStyle name="Normal 13 4 2 3" xfId="666" xr:uid="{00000000-0005-0000-0000-00009A000000}"/>
    <cellStyle name="Normal 13 4 2 3 2" xfId="1131" xr:uid="{00000000-0005-0000-0000-00009B000000}"/>
    <cellStyle name="Normal 13 4 2 3 2 2" xfId="1271" xr:uid="{00000000-0005-0000-0000-00009C000000}"/>
    <cellStyle name="Normal 13 4 2 3 3" xfId="1270" xr:uid="{00000000-0005-0000-0000-00009D000000}"/>
    <cellStyle name="Normal 13 4 2 4" xfId="716" xr:uid="{00000000-0005-0000-0000-00009E000000}"/>
    <cellStyle name="Normal 13 4 2 4 2" xfId="1179" xr:uid="{00000000-0005-0000-0000-00009F000000}"/>
    <cellStyle name="Normal 13 4 2 4 2 2" xfId="1273" xr:uid="{00000000-0005-0000-0000-0000A0000000}"/>
    <cellStyle name="Normal 13 4 2 4 3" xfId="1272" xr:uid="{00000000-0005-0000-0000-0000A1000000}"/>
    <cellStyle name="Normal 13 4 2 5" xfId="819" xr:uid="{00000000-0005-0000-0000-0000A2000000}"/>
    <cellStyle name="Normal 13 4 2 5 2" xfId="1274" xr:uid="{00000000-0005-0000-0000-0000A3000000}"/>
    <cellStyle name="Normal 13 4 2 6" xfId="1267" xr:uid="{00000000-0005-0000-0000-0000A4000000}"/>
    <cellStyle name="Normal 13 4 3" xfId="300" xr:uid="{00000000-0005-0000-0000-0000A5000000}"/>
    <cellStyle name="Normal 13 4 3 2" xfId="525" xr:uid="{00000000-0005-0000-0000-0000A6000000}"/>
    <cellStyle name="Normal 13 4 3 2 2" xfId="1042" xr:uid="{00000000-0005-0000-0000-0000A7000000}"/>
    <cellStyle name="Normal 13 4 3 2 2 2" xfId="1277" xr:uid="{00000000-0005-0000-0000-0000A8000000}"/>
    <cellStyle name="Normal 13 4 3 2 3" xfId="1276" xr:uid="{00000000-0005-0000-0000-0000A9000000}"/>
    <cellStyle name="Normal 13 4 3 3" xfId="667" xr:uid="{00000000-0005-0000-0000-0000AA000000}"/>
    <cellStyle name="Normal 13 4 3 3 2" xfId="1132" xr:uid="{00000000-0005-0000-0000-0000AB000000}"/>
    <cellStyle name="Normal 13 4 3 3 2 2" xfId="1279" xr:uid="{00000000-0005-0000-0000-0000AC000000}"/>
    <cellStyle name="Normal 13 4 3 3 3" xfId="1278" xr:uid="{00000000-0005-0000-0000-0000AD000000}"/>
    <cellStyle name="Normal 13 4 3 4" xfId="820" xr:uid="{00000000-0005-0000-0000-0000AE000000}"/>
    <cellStyle name="Normal 13 4 3 4 2" xfId="1280" xr:uid="{00000000-0005-0000-0000-0000AF000000}"/>
    <cellStyle name="Normal 13 4 3 5" xfId="1275" xr:uid="{00000000-0005-0000-0000-0000B0000000}"/>
    <cellStyle name="Normal 13 4 4" xfId="411" xr:uid="{00000000-0005-0000-0000-0000B1000000}"/>
    <cellStyle name="Normal 13 4 4 2" xfId="971" xr:uid="{00000000-0005-0000-0000-0000B2000000}"/>
    <cellStyle name="Normal 13 4 4 2 2" xfId="1282" xr:uid="{00000000-0005-0000-0000-0000B3000000}"/>
    <cellStyle name="Normal 13 4 4 3" xfId="1281" xr:uid="{00000000-0005-0000-0000-0000B4000000}"/>
    <cellStyle name="Normal 13 4 5" xfId="618" xr:uid="{00000000-0005-0000-0000-0000B5000000}"/>
    <cellStyle name="Normal 13 4 5 2" xfId="1084" xr:uid="{00000000-0005-0000-0000-0000B6000000}"/>
    <cellStyle name="Normal 13 4 5 2 2" xfId="1284" xr:uid="{00000000-0005-0000-0000-0000B7000000}"/>
    <cellStyle name="Normal 13 4 5 3" xfId="1283" xr:uid="{00000000-0005-0000-0000-0000B8000000}"/>
    <cellStyle name="Normal 13 4 6" xfId="715" xr:uid="{00000000-0005-0000-0000-0000B9000000}"/>
    <cellStyle name="Normal 13 4 6 2" xfId="1178" xr:uid="{00000000-0005-0000-0000-0000BA000000}"/>
    <cellStyle name="Normal 13 4 6 2 2" xfId="1286" xr:uid="{00000000-0005-0000-0000-0000BB000000}"/>
    <cellStyle name="Normal 13 4 6 3" xfId="1285" xr:uid="{00000000-0005-0000-0000-0000BC000000}"/>
    <cellStyle name="Normal 13 4 7" xfId="295" xr:uid="{00000000-0005-0000-0000-0000BD000000}"/>
    <cellStyle name="Normal 13 4 7 2" xfId="920" xr:uid="{00000000-0005-0000-0000-0000BE000000}"/>
    <cellStyle name="Normal 13 4 7 2 2" xfId="1288" xr:uid="{00000000-0005-0000-0000-0000BF000000}"/>
    <cellStyle name="Normal 13 4 7 3" xfId="1287" xr:uid="{00000000-0005-0000-0000-0000C0000000}"/>
    <cellStyle name="Normal 13 4 8" xfId="769" xr:uid="{00000000-0005-0000-0000-0000C1000000}"/>
    <cellStyle name="Normal 13 4 8 2" xfId="1289" xr:uid="{00000000-0005-0000-0000-0000C2000000}"/>
    <cellStyle name="Normal 13 4 9" xfId="1234" xr:uid="{00000000-0005-0000-0000-0000C3000000}"/>
    <cellStyle name="Normal 13 5" xfId="301" xr:uid="{00000000-0005-0000-0000-0000C4000000}"/>
    <cellStyle name="Normal 13 5 2" xfId="568" xr:uid="{00000000-0005-0000-0000-0000C5000000}"/>
    <cellStyle name="Normal 13 5 2 2" xfId="709" xr:uid="{00000000-0005-0000-0000-0000C6000000}"/>
    <cellStyle name="Normal 13 5 2 2 2" xfId="1174" xr:uid="{00000000-0005-0000-0000-0000C7000000}"/>
    <cellStyle name="Normal 13 5 2 2 2 2" xfId="1293" xr:uid="{00000000-0005-0000-0000-0000C8000000}"/>
    <cellStyle name="Normal 13 5 2 2 3" xfId="1292" xr:uid="{00000000-0005-0000-0000-0000C9000000}"/>
    <cellStyle name="Normal 13 5 2 3" xfId="862" xr:uid="{00000000-0005-0000-0000-0000CA000000}"/>
    <cellStyle name="Normal 13 5 2 3 2" xfId="1294" xr:uid="{00000000-0005-0000-0000-0000CB000000}"/>
    <cellStyle name="Normal 13 5 2 4" xfId="1291" xr:uid="{00000000-0005-0000-0000-0000CC000000}"/>
    <cellStyle name="Normal 13 5 3" xfId="419" xr:uid="{00000000-0005-0000-0000-0000CD000000}"/>
    <cellStyle name="Normal 13 5 3 2" xfId="978" xr:uid="{00000000-0005-0000-0000-0000CE000000}"/>
    <cellStyle name="Normal 13 5 3 2 2" xfId="1296" xr:uid="{00000000-0005-0000-0000-0000CF000000}"/>
    <cellStyle name="Normal 13 5 3 3" xfId="1295" xr:uid="{00000000-0005-0000-0000-0000D0000000}"/>
    <cellStyle name="Normal 13 5 4" xfId="624" xr:uid="{00000000-0005-0000-0000-0000D1000000}"/>
    <cellStyle name="Normal 13 5 4 2" xfId="1090" xr:uid="{00000000-0005-0000-0000-0000D2000000}"/>
    <cellStyle name="Normal 13 5 4 2 2" xfId="1298" xr:uid="{00000000-0005-0000-0000-0000D3000000}"/>
    <cellStyle name="Normal 13 5 4 3" xfId="1297" xr:uid="{00000000-0005-0000-0000-0000D4000000}"/>
    <cellStyle name="Normal 13 5 5" xfId="775" xr:uid="{00000000-0005-0000-0000-0000D5000000}"/>
    <cellStyle name="Normal 13 5 5 2" xfId="1299" xr:uid="{00000000-0005-0000-0000-0000D6000000}"/>
    <cellStyle name="Normal 13 5 6" xfId="1290" xr:uid="{00000000-0005-0000-0000-0000D7000000}"/>
    <cellStyle name="Normal 13 6" xfId="360" xr:uid="{00000000-0005-0000-0000-0000D8000000}"/>
    <cellStyle name="Normal 13 6 2" xfId="931" xr:uid="{00000000-0005-0000-0000-0000D9000000}"/>
    <cellStyle name="Normal 13 6 2 2" xfId="1301" xr:uid="{00000000-0005-0000-0000-0000DA000000}"/>
    <cellStyle name="Normal 13 6 3" xfId="1300" xr:uid="{00000000-0005-0000-0000-0000DB000000}"/>
    <cellStyle name="Normal 13 7" xfId="578" xr:uid="{00000000-0005-0000-0000-0000DC000000}"/>
    <cellStyle name="Normal 13 7 2" xfId="1044" xr:uid="{00000000-0005-0000-0000-0000DD000000}"/>
    <cellStyle name="Normal 13 7 2 2" xfId="1303" xr:uid="{00000000-0005-0000-0000-0000DE000000}"/>
    <cellStyle name="Normal 13 7 3" xfId="1302" xr:uid="{00000000-0005-0000-0000-0000DF000000}"/>
    <cellStyle name="Normal 13 8" xfId="244" xr:uid="{00000000-0005-0000-0000-0000E0000000}"/>
    <cellStyle name="Normal 13 8 2" xfId="872" xr:uid="{00000000-0005-0000-0000-0000E1000000}"/>
    <cellStyle name="Normal 13 8 2 2" xfId="1305" xr:uid="{00000000-0005-0000-0000-0000E2000000}"/>
    <cellStyle name="Normal 13 8 3" xfId="1304" xr:uid="{00000000-0005-0000-0000-0000E3000000}"/>
    <cellStyle name="Normal 13 9" xfId="727" xr:uid="{00000000-0005-0000-0000-0000E4000000}"/>
    <cellStyle name="Normal 13 9 2" xfId="1306" xr:uid="{00000000-0005-0000-0000-0000E5000000}"/>
    <cellStyle name="Normal 130" xfId="1947" xr:uid="{00000000-0005-0000-0000-0000E6000000}"/>
    <cellStyle name="Normal 131" xfId="1942" xr:uid="{00000000-0005-0000-0000-0000E7000000}"/>
    <cellStyle name="Normal 14" xfId="106" xr:uid="{00000000-0005-0000-0000-0000E8000000}"/>
    <cellStyle name="Normal 14 10" xfId="1197" xr:uid="{00000000-0005-0000-0000-0000E9000000}"/>
    <cellStyle name="Normal 14 2" xfId="107" xr:uid="{00000000-0005-0000-0000-0000EA000000}"/>
    <cellStyle name="Normal 14 2 2" xfId="423" xr:uid="{00000000-0005-0000-0000-0000EB000000}"/>
    <cellStyle name="Normal 14 2 2 2" xfId="628" xr:uid="{00000000-0005-0000-0000-0000EC000000}"/>
    <cellStyle name="Normal 14 2 2 2 2" xfId="1094" xr:uid="{00000000-0005-0000-0000-0000ED000000}"/>
    <cellStyle name="Normal 14 2 2 2 2 2" xfId="1309" xr:uid="{00000000-0005-0000-0000-0000EE000000}"/>
    <cellStyle name="Normal 14 2 2 2 3" xfId="1308" xr:uid="{00000000-0005-0000-0000-0000EF000000}"/>
    <cellStyle name="Normal 14 2 2 3" xfId="779" xr:uid="{00000000-0005-0000-0000-0000F0000000}"/>
    <cellStyle name="Normal 14 2 2 3 2" xfId="1310" xr:uid="{00000000-0005-0000-0000-0000F1000000}"/>
    <cellStyle name="Normal 14 2 2 4" xfId="1307" xr:uid="{00000000-0005-0000-0000-0000F2000000}"/>
    <cellStyle name="Normal 14 2 3" xfId="530" xr:uid="{00000000-0005-0000-0000-0000F3000000}"/>
    <cellStyle name="Normal 14 2 3 2" xfId="672" xr:uid="{00000000-0005-0000-0000-0000F4000000}"/>
    <cellStyle name="Normal 14 2 3 2 2" xfId="1137" xr:uid="{00000000-0005-0000-0000-0000F5000000}"/>
    <cellStyle name="Normal 14 2 3 2 2 2" xfId="1313" xr:uid="{00000000-0005-0000-0000-0000F6000000}"/>
    <cellStyle name="Normal 14 2 3 2 3" xfId="1312" xr:uid="{00000000-0005-0000-0000-0000F7000000}"/>
    <cellStyle name="Normal 14 2 3 3" xfId="825" xr:uid="{00000000-0005-0000-0000-0000F8000000}"/>
    <cellStyle name="Normal 14 2 3 3 2" xfId="1314" xr:uid="{00000000-0005-0000-0000-0000F9000000}"/>
    <cellStyle name="Normal 14 2 3 4" xfId="1311" xr:uid="{00000000-0005-0000-0000-0000FA000000}"/>
    <cellStyle name="Normal 14 2 4" xfId="364" xr:uid="{00000000-0005-0000-0000-0000FB000000}"/>
    <cellStyle name="Normal 14 2 4 2" xfId="935" xr:uid="{00000000-0005-0000-0000-0000FC000000}"/>
    <cellStyle name="Normal 14 2 4 2 2" xfId="1316" xr:uid="{00000000-0005-0000-0000-0000FD000000}"/>
    <cellStyle name="Normal 14 2 4 3" xfId="1315" xr:uid="{00000000-0005-0000-0000-0000FE000000}"/>
    <cellStyle name="Normal 14 2 5" xfId="582" xr:uid="{00000000-0005-0000-0000-0000FF000000}"/>
    <cellStyle name="Normal 14 2 5 2" xfId="1048" xr:uid="{00000000-0005-0000-0000-000000010000}"/>
    <cellStyle name="Normal 14 2 5 2 2" xfId="1318" xr:uid="{00000000-0005-0000-0000-000001010000}"/>
    <cellStyle name="Normal 14 2 5 3" xfId="1317" xr:uid="{00000000-0005-0000-0000-000002010000}"/>
    <cellStyle name="Normal 14 2 6" xfId="248" xr:uid="{00000000-0005-0000-0000-000003010000}"/>
    <cellStyle name="Normal 14 2 6 2" xfId="876" xr:uid="{00000000-0005-0000-0000-000004010000}"/>
    <cellStyle name="Normal 14 2 6 2 2" xfId="1320" xr:uid="{00000000-0005-0000-0000-000005010000}"/>
    <cellStyle name="Normal 14 2 6 3" xfId="1319" xr:uid="{00000000-0005-0000-0000-000006010000}"/>
    <cellStyle name="Normal 14 2 7" xfId="731" xr:uid="{00000000-0005-0000-0000-000007010000}"/>
    <cellStyle name="Normal 14 2 7 2" xfId="1321" xr:uid="{00000000-0005-0000-0000-000008010000}"/>
    <cellStyle name="Normal 14 2 8" xfId="1198" xr:uid="{00000000-0005-0000-0000-000009010000}"/>
    <cellStyle name="Normal 14 3" xfId="108" xr:uid="{00000000-0005-0000-0000-00000A010000}"/>
    <cellStyle name="Normal 14 3 2" xfId="424" xr:uid="{00000000-0005-0000-0000-00000B010000}"/>
    <cellStyle name="Normal 14 3 2 2" xfId="629" xr:uid="{00000000-0005-0000-0000-00000C010000}"/>
    <cellStyle name="Normal 14 3 2 2 2" xfId="1095" xr:uid="{00000000-0005-0000-0000-00000D010000}"/>
    <cellStyle name="Normal 14 3 2 2 2 2" xfId="1324" xr:uid="{00000000-0005-0000-0000-00000E010000}"/>
    <cellStyle name="Normal 14 3 2 2 3" xfId="1323" xr:uid="{00000000-0005-0000-0000-00000F010000}"/>
    <cellStyle name="Normal 14 3 2 3" xfId="780" xr:uid="{00000000-0005-0000-0000-000010010000}"/>
    <cellStyle name="Normal 14 3 2 3 2" xfId="1325" xr:uid="{00000000-0005-0000-0000-000011010000}"/>
    <cellStyle name="Normal 14 3 2 4" xfId="1322" xr:uid="{00000000-0005-0000-0000-000012010000}"/>
    <cellStyle name="Normal 14 3 3" xfId="531" xr:uid="{00000000-0005-0000-0000-000013010000}"/>
    <cellStyle name="Normal 14 3 3 2" xfId="673" xr:uid="{00000000-0005-0000-0000-000014010000}"/>
    <cellStyle name="Normal 14 3 3 2 2" xfId="1138" xr:uid="{00000000-0005-0000-0000-000015010000}"/>
    <cellStyle name="Normal 14 3 3 2 2 2" xfId="1328" xr:uid="{00000000-0005-0000-0000-000016010000}"/>
    <cellStyle name="Normal 14 3 3 2 3" xfId="1327" xr:uid="{00000000-0005-0000-0000-000017010000}"/>
    <cellStyle name="Normal 14 3 3 3" xfId="826" xr:uid="{00000000-0005-0000-0000-000018010000}"/>
    <cellStyle name="Normal 14 3 3 3 2" xfId="1329" xr:uid="{00000000-0005-0000-0000-000019010000}"/>
    <cellStyle name="Normal 14 3 3 4" xfId="1326" xr:uid="{00000000-0005-0000-0000-00001A010000}"/>
    <cellStyle name="Normal 14 3 4" xfId="365" xr:uid="{00000000-0005-0000-0000-00001B010000}"/>
    <cellStyle name="Normal 14 3 4 2" xfId="936" xr:uid="{00000000-0005-0000-0000-00001C010000}"/>
    <cellStyle name="Normal 14 3 4 2 2" xfId="1331" xr:uid="{00000000-0005-0000-0000-00001D010000}"/>
    <cellStyle name="Normal 14 3 4 3" xfId="1330" xr:uid="{00000000-0005-0000-0000-00001E010000}"/>
    <cellStyle name="Normal 14 3 5" xfId="583" xr:uid="{00000000-0005-0000-0000-00001F010000}"/>
    <cellStyle name="Normal 14 3 5 2" xfId="1049" xr:uid="{00000000-0005-0000-0000-000020010000}"/>
    <cellStyle name="Normal 14 3 5 2 2" xfId="1333" xr:uid="{00000000-0005-0000-0000-000021010000}"/>
    <cellStyle name="Normal 14 3 5 3" xfId="1332" xr:uid="{00000000-0005-0000-0000-000022010000}"/>
    <cellStyle name="Normal 14 3 6" xfId="249" xr:uid="{00000000-0005-0000-0000-000023010000}"/>
    <cellStyle name="Normal 14 3 6 2" xfId="877" xr:uid="{00000000-0005-0000-0000-000024010000}"/>
    <cellStyle name="Normal 14 3 6 2 2" xfId="1335" xr:uid="{00000000-0005-0000-0000-000025010000}"/>
    <cellStyle name="Normal 14 3 6 3" xfId="1334" xr:uid="{00000000-0005-0000-0000-000026010000}"/>
    <cellStyle name="Normal 14 3 7" xfId="732" xr:uid="{00000000-0005-0000-0000-000027010000}"/>
    <cellStyle name="Normal 14 3 7 2" xfId="1336" xr:uid="{00000000-0005-0000-0000-000028010000}"/>
    <cellStyle name="Normal 14 3 8" xfId="1199" xr:uid="{00000000-0005-0000-0000-000029010000}"/>
    <cellStyle name="Normal 14 4" xfId="422" xr:uid="{00000000-0005-0000-0000-00002A010000}"/>
    <cellStyle name="Normal 14 4 2" xfId="627" xr:uid="{00000000-0005-0000-0000-00002B010000}"/>
    <cellStyle name="Normal 14 4 2 2" xfId="1093" xr:uid="{00000000-0005-0000-0000-00002C010000}"/>
    <cellStyle name="Normal 14 4 2 2 2" xfId="1339" xr:uid="{00000000-0005-0000-0000-00002D010000}"/>
    <cellStyle name="Normal 14 4 2 3" xfId="1338" xr:uid="{00000000-0005-0000-0000-00002E010000}"/>
    <cellStyle name="Normal 14 4 3" xfId="778" xr:uid="{00000000-0005-0000-0000-00002F010000}"/>
    <cellStyle name="Normal 14 4 3 2" xfId="1340" xr:uid="{00000000-0005-0000-0000-000030010000}"/>
    <cellStyle name="Normal 14 4 4" xfId="1337" xr:uid="{00000000-0005-0000-0000-000031010000}"/>
    <cellStyle name="Normal 14 5" xfId="529" xr:uid="{00000000-0005-0000-0000-000032010000}"/>
    <cellStyle name="Normal 14 5 2" xfId="671" xr:uid="{00000000-0005-0000-0000-000033010000}"/>
    <cellStyle name="Normal 14 5 2 2" xfId="1136" xr:uid="{00000000-0005-0000-0000-000034010000}"/>
    <cellStyle name="Normal 14 5 2 2 2" xfId="1343" xr:uid="{00000000-0005-0000-0000-000035010000}"/>
    <cellStyle name="Normal 14 5 2 3" xfId="1342" xr:uid="{00000000-0005-0000-0000-000036010000}"/>
    <cellStyle name="Normal 14 5 3" xfId="824" xr:uid="{00000000-0005-0000-0000-000037010000}"/>
    <cellStyle name="Normal 14 5 3 2" xfId="1344" xr:uid="{00000000-0005-0000-0000-000038010000}"/>
    <cellStyle name="Normal 14 5 4" xfId="1341" xr:uid="{00000000-0005-0000-0000-000039010000}"/>
    <cellStyle name="Normal 14 6" xfId="363" xr:uid="{00000000-0005-0000-0000-00003A010000}"/>
    <cellStyle name="Normal 14 6 2" xfId="934" xr:uid="{00000000-0005-0000-0000-00003B010000}"/>
    <cellStyle name="Normal 14 6 2 2" xfId="1346" xr:uid="{00000000-0005-0000-0000-00003C010000}"/>
    <cellStyle name="Normal 14 6 3" xfId="1345" xr:uid="{00000000-0005-0000-0000-00003D010000}"/>
    <cellStyle name="Normal 14 7" xfId="581" xr:uid="{00000000-0005-0000-0000-00003E010000}"/>
    <cellStyle name="Normal 14 7 2" xfId="1047" xr:uid="{00000000-0005-0000-0000-00003F010000}"/>
    <cellStyle name="Normal 14 7 2 2" xfId="1348" xr:uid="{00000000-0005-0000-0000-000040010000}"/>
    <cellStyle name="Normal 14 7 3" xfId="1347" xr:uid="{00000000-0005-0000-0000-000041010000}"/>
    <cellStyle name="Normal 14 8" xfId="247" xr:uid="{00000000-0005-0000-0000-000042010000}"/>
    <cellStyle name="Normal 14 8 2" xfId="875" xr:uid="{00000000-0005-0000-0000-000043010000}"/>
    <cellStyle name="Normal 14 8 2 2" xfId="1350" xr:uid="{00000000-0005-0000-0000-000044010000}"/>
    <cellStyle name="Normal 14 8 3" xfId="1349" xr:uid="{00000000-0005-0000-0000-000045010000}"/>
    <cellStyle name="Normal 14 9" xfId="730" xr:uid="{00000000-0005-0000-0000-000046010000}"/>
    <cellStyle name="Normal 14 9 2" xfId="1351" xr:uid="{00000000-0005-0000-0000-000047010000}"/>
    <cellStyle name="Normal 15" xfId="109" xr:uid="{00000000-0005-0000-0000-000048010000}"/>
    <cellStyle name="Normal 15 2" xfId="110" xr:uid="{00000000-0005-0000-0000-000049010000}"/>
    <cellStyle name="Normal 16" xfId="111" xr:uid="{00000000-0005-0000-0000-00004A010000}"/>
    <cellStyle name="Normal 16 10" xfId="1200" xr:uid="{00000000-0005-0000-0000-00004B010000}"/>
    <cellStyle name="Normal 16 2" xfId="112" xr:uid="{00000000-0005-0000-0000-00004C010000}"/>
    <cellStyle name="Normal 16 2 2" xfId="426" xr:uid="{00000000-0005-0000-0000-00004D010000}"/>
    <cellStyle name="Normal 16 2 2 2" xfId="631" xr:uid="{00000000-0005-0000-0000-00004E010000}"/>
    <cellStyle name="Normal 16 2 2 2 2" xfId="1097" xr:uid="{00000000-0005-0000-0000-00004F010000}"/>
    <cellStyle name="Normal 16 2 2 2 2 2" xfId="1354" xr:uid="{00000000-0005-0000-0000-000050010000}"/>
    <cellStyle name="Normal 16 2 2 2 3" xfId="1353" xr:uid="{00000000-0005-0000-0000-000051010000}"/>
    <cellStyle name="Normal 16 2 2 3" xfId="782" xr:uid="{00000000-0005-0000-0000-000052010000}"/>
    <cellStyle name="Normal 16 2 2 3 2" xfId="1355" xr:uid="{00000000-0005-0000-0000-000053010000}"/>
    <cellStyle name="Normal 16 2 2 4" xfId="1352" xr:uid="{00000000-0005-0000-0000-000054010000}"/>
    <cellStyle name="Normal 16 2 3" xfId="533" xr:uid="{00000000-0005-0000-0000-000055010000}"/>
    <cellStyle name="Normal 16 2 3 2" xfId="675" xr:uid="{00000000-0005-0000-0000-000056010000}"/>
    <cellStyle name="Normal 16 2 3 2 2" xfId="1140" xr:uid="{00000000-0005-0000-0000-000057010000}"/>
    <cellStyle name="Normal 16 2 3 2 2 2" xfId="1358" xr:uid="{00000000-0005-0000-0000-000058010000}"/>
    <cellStyle name="Normal 16 2 3 2 3" xfId="1357" xr:uid="{00000000-0005-0000-0000-000059010000}"/>
    <cellStyle name="Normal 16 2 3 3" xfId="828" xr:uid="{00000000-0005-0000-0000-00005A010000}"/>
    <cellStyle name="Normal 16 2 3 3 2" xfId="1359" xr:uid="{00000000-0005-0000-0000-00005B010000}"/>
    <cellStyle name="Normal 16 2 3 4" xfId="1356" xr:uid="{00000000-0005-0000-0000-00005C010000}"/>
    <cellStyle name="Normal 16 2 4" xfId="367" xr:uid="{00000000-0005-0000-0000-00005D010000}"/>
    <cellStyle name="Normal 16 2 4 2" xfId="938" xr:uid="{00000000-0005-0000-0000-00005E010000}"/>
    <cellStyle name="Normal 16 2 4 2 2" xfId="1361" xr:uid="{00000000-0005-0000-0000-00005F010000}"/>
    <cellStyle name="Normal 16 2 4 3" xfId="1360" xr:uid="{00000000-0005-0000-0000-000060010000}"/>
    <cellStyle name="Normal 16 2 5" xfId="585" xr:uid="{00000000-0005-0000-0000-000061010000}"/>
    <cellStyle name="Normal 16 2 5 2" xfId="1051" xr:uid="{00000000-0005-0000-0000-000062010000}"/>
    <cellStyle name="Normal 16 2 5 2 2" xfId="1363" xr:uid="{00000000-0005-0000-0000-000063010000}"/>
    <cellStyle name="Normal 16 2 5 3" xfId="1362" xr:uid="{00000000-0005-0000-0000-000064010000}"/>
    <cellStyle name="Normal 16 2 6" xfId="251" xr:uid="{00000000-0005-0000-0000-000065010000}"/>
    <cellStyle name="Normal 16 2 6 2" xfId="880" xr:uid="{00000000-0005-0000-0000-000066010000}"/>
    <cellStyle name="Normal 16 2 6 2 2" xfId="1365" xr:uid="{00000000-0005-0000-0000-000067010000}"/>
    <cellStyle name="Normal 16 2 6 3" xfId="1364" xr:uid="{00000000-0005-0000-0000-000068010000}"/>
    <cellStyle name="Normal 16 2 7" xfId="734" xr:uid="{00000000-0005-0000-0000-000069010000}"/>
    <cellStyle name="Normal 16 2 7 2" xfId="1366" xr:uid="{00000000-0005-0000-0000-00006A010000}"/>
    <cellStyle name="Normal 16 2 8" xfId="1201" xr:uid="{00000000-0005-0000-0000-00006B010000}"/>
    <cellStyle name="Normal 16 3" xfId="113" xr:uid="{00000000-0005-0000-0000-00006C010000}"/>
    <cellStyle name="Normal 16 3 2" xfId="427" xr:uid="{00000000-0005-0000-0000-00006D010000}"/>
    <cellStyle name="Normal 16 3 2 2" xfId="632" xr:uid="{00000000-0005-0000-0000-00006E010000}"/>
    <cellStyle name="Normal 16 3 2 2 2" xfId="1098" xr:uid="{00000000-0005-0000-0000-00006F010000}"/>
    <cellStyle name="Normal 16 3 2 2 2 2" xfId="1369" xr:uid="{00000000-0005-0000-0000-000070010000}"/>
    <cellStyle name="Normal 16 3 2 2 3" xfId="1368" xr:uid="{00000000-0005-0000-0000-000071010000}"/>
    <cellStyle name="Normal 16 3 2 3" xfId="783" xr:uid="{00000000-0005-0000-0000-000072010000}"/>
    <cellStyle name="Normal 16 3 2 3 2" xfId="1370" xr:uid="{00000000-0005-0000-0000-000073010000}"/>
    <cellStyle name="Normal 16 3 2 4" xfId="1367" xr:uid="{00000000-0005-0000-0000-000074010000}"/>
    <cellStyle name="Normal 16 3 3" xfId="534" xr:uid="{00000000-0005-0000-0000-000075010000}"/>
    <cellStyle name="Normal 16 3 3 2" xfId="676" xr:uid="{00000000-0005-0000-0000-000076010000}"/>
    <cellStyle name="Normal 16 3 3 2 2" xfId="1141" xr:uid="{00000000-0005-0000-0000-000077010000}"/>
    <cellStyle name="Normal 16 3 3 2 2 2" xfId="1373" xr:uid="{00000000-0005-0000-0000-000078010000}"/>
    <cellStyle name="Normal 16 3 3 2 3" xfId="1372" xr:uid="{00000000-0005-0000-0000-000079010000}"/>
    <cellStyle name="Normal 16 3 3 3" xfId="829" xr:uid="{00000000-0005-0000-0000-00007A010000}"/>
    <cellStyle name="Normal 16 3 3 3 2" xfId="1374" xr:uid="{00000000-0005-0000-0000-00007B010000}"/>
    <cellStyle name="Normal 16 3 3 4" xfId="1371" xr:uid="{00000000-0005-0000-0000-00007C010000}"/>
    <cellStyle name="Normal 16 3 4" xfId="368" xr:uid="{00000000-0005-0000-0000-00007D010000}"/>
    <cellStyle name="Normal 16 3 4 2" xfId="939" xr:uid="{00000000-0005-0000-0000-00007E010000}"/>
    <cellStyle name="Normal 16 3 4 2 2" xfId="1376" xr:uid="{00000000-0005-0000-0000-00007F010000}"/>
    <cellStyle name="Normal 16 3 4 3" xfId="1375" xr:uid="{00000000-0005-0000-0000-000080010000}"/>
    <cellStyle name="Normal 16 3 5" xfId="586" xr:uid="{00000000-0005-0000-0000-000081010000}"/>
    <cellStyle name="Normal 16 3 5 2" xfId="1052" xr:uid="{00000000-0005-0000-0000-000082010000}"/>
    <cellStyle name="Normal 16 3 5 2 2" xfId="1378" xr:uid="{00000000-0005-0000-0000-000083010000}"/>
    <cellStyle name="Normal 16 3 5 3" xfId="1377" xr:uid="{00000000-0005-0000-0000-000084010000}"/>
    <cellStyle name="Normal 16 3 6" xfId="252" xr:uid="{00000000-0005-0000-0000-000085010000}"/>
    <cellStyle name="Normal 16 3 6 2" xfId="881" xr:uid="{00000000-0005-0000-0000-000086010000}"/>
    <cellStyle name="Normal 16 3 6 2 2" xfId="1380" xr:uid="{00000000-0005-0000-0000-000087010000}"/>
    <cellStyle name="Normal 16 3 6 3" xfId="1379" xr:uid="{00000000-0005-0000-0000-000088010000}"/>
    <cellStyle name="Normal 16 3 7" xfId="735" xr:uid="{00000000-0005-0000-0000-000089010000}"/>
    <cellStyle name="Normal 16 3 7 2" xfId="1381" xr:uid="{00000000-0005-0000-0000-00008A010000}"/>
    <cellStyle name="Normal 16 3 8" xfId="1202" xr:uid="{00000000-0005-0000-0000-00008B010000}"/>
    <cellStyle name="Normal 16 4" xfId="425" xr:uid="{00000000-0005-0000-0000-00008C010000}"/>
    <cellStyle name="Normal 16 4 2" xfId="630" xr:uid="{00000000-0005-0000-0000-00008D010000}"/>
    <cellStyle name="Normal 16 4 2 2" xfId="1096" xr:uid="{00000000-0005-0000-0000-00008E010000}"/>
    <cellStyle name="Normal 16 4 2 2 2" xfId="1384" xr:uid="{00000000-0005-0000-0000-00008F010000}"/>
    <cellStyle name="Normal 16 4 2 3" xfId="1383" xr:uid="{00000000-0005-0000-0000-000090010000}"/>
    <cellStyle name="Normal 16 4 3" xfId="781" xr:uid="{00000000-0005-0000-0000-000091010000}"/>
    <cellStyle name="Normal 16 4 3 2" xfId="1385" xr:uid="{00000000-0005-0000-0000-000092010000}"/>
    <cellStyle name="Normal 16 4 4" xfId="1382" xr:uid="{00000000-0005-0000-0000-000093010000}"/>
    <cellStyle name="Normal 16 5" xfId="532" xr:uid="{00000000-0005-0000-0000-000094010000}"/>
    <cellStyle name="Normal 16 5 2" xfId="674" xr:uid="{00000000-0005-0000-0000-000095010000}"/>
    <cellStyle name="Normal 16 5 2 2" xfId="1139" xr:uid="{00000000-0005-0000-0000-000096010000}"/>
    <cellStyle name="Normal 16 5 2 2 2" xfId="1388" xr:uid="{00000000-0005-0000-0000-000097010000}"/>
    <cellStyle name="Normal 16 5 2 3" xfId="1387" xr:uid="{00000000-0005-0000-0000-000098010000}"/>
    <cellStyle name="Normal 16 5 3" xfId="827" xr:uid="{00000000-0005-0000-0000-000099010000}"/>
    <cellStyle name="Normal 16 5 3 2" xfId="1389" xr:uid="{00000000-0005-0000-0000-00009A010000}"/>
    <cellStyle name="Normal 16 5 4" xfId="1386" xr:uid="{00000000-0005-0000-0000-00009B010000}"/>
    <cellStyle name="Normal 16 6" xfId="366" xr:uid="{00000000-0005-0000-0000-00009C010000}"/>
    <cellStyle name="Normal 16 6 2" xfId="937" xr:uid="{00000000-0005-0000-0000-00009D010000}"/>
    <cellStyle name="Normal 16 6 2 2" xfId="1391" xr:uid="{00000000-0005-0000-0000-00009E010000}"/>
    <cellStyle name="Normal 16 6 3" xfId="1390" xr:uid="{00000000-0005-0000-0000-00009F010000}"/>
    <cellStyle name="Normal 16 7" xfId="584" xr:uid="{00000000-0005-0000-0000-0000A0010000}"/>
    <cellStyle name="Normal 16 7 2" xfId="1050" xr:uid="{00000000-0005-0000-0000-0000A1010000}"/>
    <cellStyle name="Normal 16 7 2 2" xfId="1393" xr:uid="{00000000-0005-0000-0000-0000A2010000}"/>
    <cellStyle name="Normal 16 7 3" xfId="1392" xr:uid="{00000000-0005-0000-0000-0000A3010000}"/>
    <cellStyle name="Normal 16 8" xfId="250" xr:uid="{00000000-0005-0000-0000-0000A4010000}"/>
    <cellStyle name="Normal 16 8 2" xfId="879" xr:uid="{00000000-0005-0000-0000-0000A5010000}"/>
    <cellStyle name="Normal 16 8 2 2" xfId="1395" xr:uid="{00000000-0005-0000-0000-0000A6010000}"/>
    <cellStyle name="Normal 16 8 3" xfId="1394" xr:uid="{00000000-0005-0000-0000-0000A7010000}"/>
    <cellStyle name="Normal 16 9" xfId="733" xr:uid="{00000000-0005-0000-0000-0000A8010000}"/>
    <cellStyle name="Normal 16 9 2" xfId="1396" xr:uid="{00000000-0005-0000-0000-0000A9010000}"/>
    <cellStyle name="Normal 17" xfId="51" xr:uid="{00000000-0005-0000-0000-0000AA010000}"/>
    <cellStyle name="Normal 17 2" xfId="428" xr:uid="{00000000-0005-0000-0000-0000AB010000}"/>
    <cellStyle name="Normal 17 2 2" xfId="979" xr:uid="{00000000-0005-0000-0000-0000AC010000}"/>
    <cellStyle name="Normal 17 3" xfId="332" xr:uid="{00000000-0005-0000-0000-0000AD010000}"/>
    <cellStyle name="Normal 17 4" xfId="216" xr:uid="{00000000-0005-0000-0000-0000AE010000}"/>
    <cellStyle name="Normal 18" xfId="61" xr:uid="{00000000-0005-0000-0000-0000AF010000}"/>
    <cellStyle name="Normal 18 2" xfId="429" xr:uid="{00000000-0005-0000-0000-0000B0010000}"/>
    <cellStyle name="Normal 18 2 2" xfId="980" xr:uid="{00000000-0005-0000-0000-0000B1010000}"/>
    <cellStyle name="Normal 18 3" xfId="342" xr:uid="{00000000-0005-0000-0000-0000B2010000}"/>
    <cellStyle name="Normal 18 4" xfId="226" xr:uid="{00000000-0005-0000-0000-0000B3010000}"/>
    <cellStyle name="Normal 19" xfId="42" xr:uid="{00000000-0005-0000-0000-0000B4010000}"/>
    <cellStyle name="Normal 19 2" xfId="430" xr:uid="{00000000-0005-0000-0000-0000B5010000}"/>
    <cellStyle name="Normal 19 2 2" xfId="981" xr:uid="{00000000-0005-0000-0000-0000B6010000}"/>
    <cellStyle name="Normal 19 3" xfId="323" xr:uid="{00000000-0005-0000-0000-0000B7010000}"/>
    <cellStyle name="Normal 19 4" xfId="207" xr:uid="{00000000-0005-0000-0000-0000B8010000}"/>
    <cellStyle name="Normal 2" xfId="11" xr:uid="{00000000-0005-0000-0000-0000B9010000}"/>
    <cellStyle name="Normal 2 2" xfId="114" xr:uid="{00000000-0005-0000-0000-0000BA010000}"/>
    <cellStyle name="Normal 2 2 2" xfId="173" xr:uid="{00000000-0005-0000-0000-0000BB010000}"/>
    <cellStyle name="Normal 2 2 2 2" xfId="758" xr:uid="{00000000-0005-0000-0000-0000BC010000}"/>
    <cellStyle name="Normal 2 3" xfId="726" xr:uid="{00000000-0005-0000-0000-0000BD010000}"/>
    <cellStyle name="Normal 20" xfId="47" xr:uid="{00000000-0005-0000-0000-0000BE010000}"/>
    <cellStyle name="Normal 20 2" xfId="431" xr:uid="{00000000-0005-0000-0000-0000BF010000}"/>
    <cellStyle name="Normal 20 2 2" xfId="982" xr:uid="{00000000-0005-0000-0000-0000C0010000}"/>
    <cellStyle name="Normal 20 3" xfId="328" xr:uid="{00000000-0005-0000-0000-0000C1010000}"/>
    <cellStyle name="Normal 20 4" xfId="212" xr:uid="{00000000-0005-0000-0000-0000C2010000}"/>
    <cellStyle name="Normal 21" xfId="56" xr:uid="{00000000-0005-0000-0000-0000C3010000}"/>
    <cellStyle name="Normal 21 2" xfId="432" xr:uid="{00000000-0005-0000-0000-0000C4010000}"/>
    <cellStyle name="Normal 21 2 2" xfId="983" xr:uid="{00000000-0005-0000-0000-0000C5010000}"/>
    <cellStyle name="Normal 21 3" xfId="337" xr:uid="{00000000-0005-0000-0000-0000C6010000}"/>
    <cellStyle name="Normal 21 4" xfId="221" xr:uid="{00000000-0005-0000-0000-0000C7010000}"/>
    <cellStyle name="Normal 22" xfId="38" xr:uid="{00000000-0005-0000-0000-0000C8010000}"/>
    <cellStyle name="Normal 22 2" xfId="433" xr:uid="{00000000-0005-0000-0000-0000C9010000}"/>
    <cellStyle name="Normal 22 2 2" xfId="984" xr:uid="{00000000-0005-0000-0000-0000CA010000}"/>
    <cellStyle name="Normal 22 3" xfId="319" xr:uid="{00000000-0005-0000-0000-0000CB010000}"/>
    <cellStyle name="Normal 22 4" xfId="203" xr:uid="{00000000-0005-0000-0000-0000CC010000}"/>
    <cellStyle name="Normal 23" xfId="34" xr:uid="{00000000-0005-0000-0000-0000CD010000}"/>
    <cellStyle name="Normal 23 2" xfId="434" xr:uid="{00000000-0005-0000-0000-0000CE010000}"/>
    <cellStyle name="Normal 23 2 2" xfId="985" xr:uid="{00000000-0005-0000-0000-0000CF010000}"/>
    <cellStyle name="Normal 23 3" xfId="315" xr:uid="{00000000-0005-0000-0000-0000D0010000}"/>
    <cellStyle name="Normal 23 4" xfId="199" xr:uid="{00000000-0005-0000-0000-0000D1010000}"/>
    <cellStyle name="Normal 24" xfId="36" xr:uid="{00000000-0005-0000-0000-0000D2010000}"/>
    <cellStyle name="Normal 24 2" xfId="435" xr:uid="{00000000-0005-0000-0000-0000D3010000}"/>
    <cellStyle name="Normal 24 2 2" xfId="986" xr:uid="{00000000-0005-0000-0000-0000D4010000}"/>
    <cellStyle name="Normal 24 3" xfId="317" xr:uid="{00000000-0005-0000-0000-0000D5010000}"/>
    <cellStyle name="Normal 24 4" xfId="201" xr:uid="{00000000-0005-0000-0000-0000D6010000}"/>
    <cellStyle name="Normal 25" xfId="65" xr:uid="{00000000-0005-0000-0000-0000D7010000}"/>
    <cellStyle name="Normal 25 2" xfId="436" xr:uid="{00000000-0005-0000-0000-0000D8010000}"/>
    <cellStyle name="Normal 25 2 2" xfId="987" xr:uid="{00000000-0005-0000-0000-0000D9010000}"/>
    <cellStyle name="Normal 25 3" xfId="346" xr:uid="{00000000-0005-0000-0000-0000DA010000}"/>
    <cellStyle name="Normal 25 4" xfId="230" xr:uid="{00000000-0005-0000-0000-0000DB010000}"/>
    <cellStyle name="Normal 26" xfId="76" xr:uid="{00000000-0005-0000-0000-0000DC010000}"/>
    <cellStyle name="Normal 26 2" xfId="437" xr:uid="{00000000-0005-0000-0000-0000DD010000}"/>
    <cellStyle name="Normal 26 2 2" xfId="988" xr:uid="{00000000-0005-0000-0000-0000DE010000}"/>
    <cellStyle name="Normal 26 3" xfId="357" xr:uid="{00000000-0005-0000-0000-0000DF010000}"/>
    <cellStyle name="Normal 26 4" xfId="241" xr:uid="{00000000-0005-0000-0000-0000E0010000}"/>
    <cellStyle name="Normal 27" xfId="70" xr:uid="{00000000-0005-0000-0000-0000E1010000}"/>
    <cellStyle name="Normal 27 2" xfId="438" xr:uid="{00000000-0005-0000-0000-0000E2010000}"/>
    <cellStyle name="Normal 27 2 2" xfId="989" xr:uid="{00000000-0005-0000-0000-0000E3010000}"/>
    <cellStyle name="Normal 27 3" xfId="351" xr:uid="{00000000-0005-0000-0000-0000E4010000}"/>
    <cellStyle name="Normal 27 4" xfId="235" xr:uid="{00000000-0005-0000-0000-0000E5010000}"/>
    <cellStyle name="Normal 28" xfId="67" xr:uid="{00000000-0005-0000-0000-0000E6010000}"/>
    <cellStyle name="Normal 28 2" xfId="439" xr:uid="{00000000-0005-0000-0000-0000E7010000}"/>
    <cellStyle name="Normal 28 2 2" xfId="990" xr:uid="{00000000-0005-0000-0000-0000E8010000}"/>
    <cellStyle name="Normal 28 3" xfId="348" xr:uid="{00000000-0005-0000-0000-0000E9010000}"/>
    <cellStyle name="Normal 28 4" xfId="232" xr:uid="{00000000-0005-0000-0000-0000EA010000}"/>
    <cellStyle name="Normal 29" xfId="58" xr:uid="{00000000-0005-0000-0000-0000EB010000}"/>
    <cellStyle name="Normal 29 2" xfId="440" xr:uid="{00000000-0005-0000-0000-0000EC010000}"/>
    <cellStyle name="Normal 29 2 2" xfId="991" xr:uid="{00000000-0005-0000-0000-0000ED010000}"/>
    <cellStyle name="Normal 29 3" xfId="339" xr:uid="{00000000-0005-0000-0000-0000EE010000}"/>
    <cellStyle name="Normal 29 4" xfId="223" xr:uid="{00000000-0005-0000-0000-0000EF010000}"/>
    <cellStyle name="Normal 3" xfId="12" xr:uid="{00000000-0005-0000-0000-0000F0010000}"/>
    <cellStyle name="Normal 3 2" xfId="115" xr:uid="{00000000-0005-0000-0000-0000F1010000}"/>
    <cellStyle name="Normal 3 2 2" xfId="442" xr:uid="{00000000-0005-0000-0000-0000F2010000}"/>
    <cellStyle name="Normal 3 2 2 2" xfId="993" xr:uid="{00000000-0005-0000-0000-0000F3010000}"/>
    <cellStyle name="Normal 3 2 3" xfId="369" xr:uid="{00000000-0005-0000-0000-0000F4010000}"/>
    <cellStyle name="Normal 3 2 4" xfId="253" xr:uid="{00000000-0005-0000-0000-0000F5010000}"/>
    <cellStyle name="Normal 3 3" xfId="116" xr:uid="{00000000-0005-0000-0000-0000F6010000}"/>
    <cellStyle name="Normal 3 4" xfId="441" xr:uid="{00000000-0005-0000-0000-0000F7010000}"/>
    <cellStyle name="Normal 3 4 2" xfId="992" xr:uid="{00000000-0005-0000-0000-0000F8010000}"/>
    <cellStyle name="Normal 30" xfId="32" xr:uid="{00000000-0005-0000-0000-0000F9010000}"/>
    <cellStyle name="Normal 30 2" xfId="443" xr:uid="{00000000-0005-0000-0000-0000FA010000}"/>
    <cellStyle name="Normal 30 2 2" xfId="994" xr:uid="{00000000-0005-0000-0000-0000FB010000}"/>
    <cellStyle name="Normal 30 3" xfId="313" xr:uid="{00000000-0005-0000-0000-0000FC010000}"/>
    <cellStyle name="Normal 30 4" xfId="197" xr:uid="{00000000-0005-0000-0000-0000FD010000}"/>
    <cellStyle name="Normal 31" xfId="63" xr:uid="{00000000-0005-0000-0000-0000FE010000}"/>
    <cellStyle name="Normal 31 2" xfId="444" xr:uid="{00000000-0005-0000-0000-0000FF010000}"/>
    <cellStyle name="Normal 31 2 2" xfId="995" xr:uid="{00000000-0005-0000-0000-000000020000}"/>
    <cellStyle name="Normal 31 3" xfId="344" xr:uid="{00000000-0005-0000-0000-000001020000}"/>
    <cellStyle name="Normal 31 4" xfId="228" xr:uid="{00000000-0005-0000-0000-000002020000}"/>
    <cellStyle name="Normal 32" xfId="40" xr:uid="{00000000-0005-0000-0000-000003020000}"/>
    <cellStyle name="Normal 32 2" xfId="445" xr:uid="{00000000-0005-0000-0000-000004020000}"/>
    <cellStyle name="Normal 32 2 2" xfId="996" xr:uid="{00000000-0005-0000-0000-000005020000}"/>
    <cellStyle name="Normal 32 3" xfId="321" xr:uid="{00000000-0005-0000-0000-000006020000}"/>
    <cellStyle name="Normal 32 4" xfId="205" xr:uid="{00000000-0005-0000-0000-000007020000}"/>
    <cellStyle name="Normal 33" xfId="49" xr:uid="{00000000-0005-0000-0000-000008020000}"/>
    <cellStyle name="Normal 33 2" xfId="446" xr:uid="{00000000-0005-0000-0000-000009020000}"/>
    <cellStyle name="Normal 33 2 2" xfId="997" xr:uid="{00000000-0005-0000-0000-00000A020000}"/>
    <cellStyle name="Normal 33 3" xfId="330" xr:uid="{00000000-0005-0000-0000-00000B020000}"/>
    <cellStyle name="Normal 33 4" xfId="214" xr:uid="{00000000-0005-0000-0000-00000C020000}"/>
    <cellStyle name="Normal 34" xfId="74" xr:uid="{00000000-0005-0000-0000-00000D020000}"/>
    <cellStyle name="Normal 34 2" xfId="447" xr:uid="{00000000-0005-0000-0000-00000E020000}"/>
    <cellStyle name="Normal 34 2 2" xfId="998" xr:uid="{00000000-0005-0000-0000-00000F020000}"/>
    <cellStyle name="Normal 34 3" xfId="355" xr:uid="{00000000-0005-0000-0000-000010020000}"/>
    <cellStyle name="Normal 34 4" xfId="239" xr:uid="{00000000-0005-0000-0000-000011020000}"/>
    <cellStyle name="Normal 35" xfId="59" xr:uid="{00000000-0005-0000-0000-000012020000}"/>
    <cellStyle name="Normal 35 2" xfId="448" xr:uid="{00000000-0005-0000-0000-000013020000}"/>
    <cellStyle name="Normal 35 2 2" xfId="999" xr:uid="{00000000-0005-0000-0000-000014020000}"/>
    <cellStyle name="Normal 35 3" xfId="340" xr:uid="{00000000-0005-0000-0000-000015020000}"/>
    <cellStyle name="Normal 35 4" xfId="224" xr:uid="{00000000-0005-0000-0000-000016020000}"/>
    <cellStyle name="Normal 36" xfId="45" xr:uid="{00000000-0005-0000-0000-000017020000}"/>
    <cellStyle name="Normal 36 2" xfId="449" xr:uid="{00000000-0005-0000-0000-000018020000}"/>
    <cellStyle name="Normal 36 2 2" xfId="1000" xr:uid="{00000000-0005-0000-0000-000019020000}"/>
    <cellStyle name="Normal 36 3" xfId="326" xr:uid="{00000000-0005-0000-0000-00001A020000}"/>
    <cellStyle name="Normal 36 4" xfId="210" xr:uid="{00000000-0005-0000-0000-00001B020000}"/>
    <cellStyle name="Normal 37" xfId="117" xr:uid="{00000000-0005-0000-0000-00001C020000}"/>
    <cellStyle name="Normal 37 2" xfId="118" xr:uid="{00000000-0005-0000-0000-00001D020000}"/>
    <cellStyle name="Normal 37 2 2" xfId="451" xr:uid="{00000000-0005-0000-0000-00001E020000}"/>
    <cellStyle name="Normal 37 2 2 2" xfId="634" xr:uid="{00000000-0005-0000-0000-00001F020000}"/>
    <cellStyle name="Normal 37 2 2 2 2" xfId="1100" xr:uid="{00000000-0005-0000-0000-000020020000}"/>
    <cellStyle name="Normal 37 2 2 2 2 2" xfId="1399" xr:uid="{00000000-0005-0000-0000-000021020000}"/>
    <cellStyle name="Normal 37 2 2 2 3" xfId="1398" xr:uid="{00000000-0005-0000-0000-000022020000}"/>
    <cellStyle name="Normal 37 2 2 3" xfId="786" xr:uid="{00000000-0005-0000-0000-000023020000}"/>
    <cellStyle name="Normal 37 2 2 3 2" xfId="1400" xr:uid="{00000000-0005-0000-0000-000024020000}"/>
    <cellStyle name="Normal 37 2 2 4" xfId="1397" xr:uid="{00000000-0005-0000-0000-000025020000}"/>
    <cellStyle name="Normal 37 2 3" xfId="536" xr:uid="{00000000-0005-0000-0000-000026020000}"/>
    <cellStyle name="Normal 37 2 3 2" xfId="678" xr:uid="{00000000-0005-0000-0000-000027020000}"/>
    <cellStyle name="Normal 37 2 3 2 2" xfId="1143" xr:uid="{00000000-0005-0000-0000-000028020000}"/>
    <cellStyle name="Normal 37 2 3 2 2 2" xfId="1403" xr:uid="{00000000-0005-0000-0000-000029020000}"/>
    <cellStyle name="Normal 37 2 3 2 3" xfId="1402" xr:uid="{00000000-0005-0000-0000-00002A020000}"/>
    <cellStyle name="Normal 37 2 3 3" xfId="831" xr:uid="{00000000-0005-0000-0000-00002B020000}"/>
    <cellStyle name="Normal 37 2 3 3 2" xfId="1404" xr:uid="{00000000-0005-0000-0000-00002C020000}"/>
    <cellStyle name="Normal 37 2 3 4" xfId="1401" xr:uid="{00000000-0005-0000-0000-00002D020000}"/>
    <cellStyle name="Normal 37 2 4" xfId="371" xr:uid="{00000000-0005-0000-0000-00002E020000}"/>
    <cellStyle name="Normal 37 2 4 2" xfId="941" xr:uid="{00000000-0005-0000-0000-00002F020000}"/>
    <cellStyle name="Normal 37 2 4 2 2" xfId="1406" xr:uid="{00000000-0005-0000-0000-000030020000}"/>
    <cellStyle name="Normal 37 2 4 3" xfId="1405" xr:uid="{00000000-0005-0000-0000-000031020000}"/>
    <cellStyle name="Normal 37 2 5" xfId="588" xr:uid="{00000000-0005-0000-0000-000032020000}"/>
    <cellStyle name="Normal 37 2 5 2" xfId="1054" xr:uid="{00000000-0005-0000-0000-000033020000}"/>
    <cellStyle name="Normal 37 2 5 2 2" xfId="1408" xr:uid="{00000000-0005-0000-0000-000034020000}"/>
    <cellStyle name="Normal 37 2 5 3" xfId="1407" xr:uid="{00000000-0005-0000-0000-000035020000}"/>
    <cellStyle name="Normal 37 2 6" xfId="255" xr:uid="{00000000-0005-0000-0000-000036020000}"/>
    <cellStyle name="Normal 37 2 6 2" xfId="883" xr:uid="{00000000-0005-0000-0000-000037020000}"/>
    <cellStyle name="Normal 37 2 6 2 2" xfId="1410" xr:uid="{00000000-0005-0000-0000-000038020000}"/>
    <cellStyle name="Normal 37 2 6 3" xfId="1409" xr:uid="{00000000-0005-0000-0000-000039020000}"/>
    <cellStyle name="Normal 37 2 7" xfId="737" xr:uid="{00000000-0005-0000-0000-00003A020000}"/>
    <cellStyle name="Normal 37 2 7 2" xfId="1411" xr:uid="{00000000-0005-0000-0000-00003B020000}"/>
    <cellStyle name="Normal 37 2 8" xfId="1204" xr:uid="{00000000-0005-0000-0000-00003C020000}"/>
    <cellStyle name="Normal 37 3" xfId="450" xr:uid="{00000000-0005-0000-0000-00003D020000}"/>
    <cellStyle name="Normal 37 3 2" xfId="633" xr:uid="{00000000-0005-0000-0000-00003E020000}"/>
    <cellStyle name="Normal 37 3 2 2" xfId="1099" xr:uid="{00000000-0005-0000-0000-00003F020000}"/>
    <cellStyle name="Normal 37 3 2 2 2" xfId="1414" xr:uid="{00000000-0005-0000-0000-000040020000}"/>
    <cellStyle name="Normal 37 3 2 3" xfId="1413" xr:uid="{00000000-0005-0000-0000-000041020000}"/>
    <cellStyle name="Normal 37 3 3" xfId="785" xr:uid="{00000000-0005-0000-0000-000042020000}"/>
    <cellStyle name="Normal 37 3 3 2" xfId="1415" xr:uid="{00000000-0005-0000-0000-000043020000}"/>
    <cellStyle name="Normal 37 3 4" xfId="1412" xr:uid="{00000000-0005-0000-0000-000044020000}"/>
    <cellStyle name="Normal 37 4" xfId="535" xr:uid="{00000000-0005-0000-0000-000045020000}"/>
    <cellStyle name="Normal 37 4 2" xfId="677" xr:uid="{00000000-0005-0000-0000-000046020000}"/>
    <cellStyle name="Normal 37 4 2 2" xfId="1142" xr:uid="{00000000-0005-0000-0000-000047020000}"/>
    <cellStyle name="Normal 37 4 2 2 2" xfId="1418" xr:uid="{00000000-0005-0000-0000-000048020000}"/>
    <cellStyle name="Normal 37 4 2 3" xfId="1417" xr:uid="{00000000-0005-0000-0000-000049020000}"/>
    <cellStyle name="Normal 37 4 3" xfId="830" xr:uid="{00000000-0005-0000-0000-00004A020000}"/>
    <cellStyle name="Normal 37 4 3 2" xfId="1419" xr:uid="{00000000-0005-0000-0000-00004B020000}"/>
    <cellStyle name="Normal 37 4 4" xfId="1416" xr:uid="{00000000-0005-0000-0000-00004C020000}"/>
    <cellStyle name="Normal 37 5" xfId="370" xr:uid="{00000000-0005-0000-0000-00004D020000}"/>
    <cellStyle name="Normal 37 5 2" xfId="940" xr:uid="{00000000-0005-0000-0000-00004E020000}"/>
    <cellStyle name="Normal 37 5 2 2" xfId="1421" xr:uid="{00000000-0005-0000-0000-00004F020000}"/>
    <cellStyle name="Normal 37 5 3" xfId="1420" xr:uid="{00000000-0005-0000-0000-000050020000}"/>
    <cellStyle name="Normal 37 6" xfId="587" xr:uid="{00000000-0005-0000-0000-000051020000}"/>
    <cellStyle name="Normal 37 6 2" xfId="1053" xr:uid="{00000000-0005-0000-0000-000052020000}"/>
    <cellStyle name="Normal 37 6 2 2" xfId="1423" xr:uid="{00000000-0005-0000-0000-000053020000}"/>
    <cellStyle name="Normal 37 6 3" xfId="1422" xr:uid="{00000000-0005-0000-0000-000054020000}"/>
    <cellStyle name="Normal 37 7" xfId="254" xr:uid="{00000000-0005-0000-0000-000055020000}"/>
    <cellStyle name="Normal 37 7 2" xfId="882" xr:uid="{00000000-0005-0000-0000-000056020000}"/>
    <cellStyle name="Normal 37 7 2 2" xfId="1425" xr:uid="{00000000-0005-0000-0000-000057020000}"/>
    <cellStyle name="Normal 37 7 3" xfId="1424" xr:uid="{00000000-0005-0000-0000-000058020000}"/>
    <cellStyle name="Normal 37 8" xfId="736" xr:uid="{00000000-0005-0000-0000-000059020000}"/>
    <cellStyle name="Normal 37 8 2" xfId="1426" xr:uid="{00000000-0005-0000-0000-00005A020000}"/>
    <cellStyle name="Normal 37 9" xfId="1203" xr:uid="{00000000-0005-0000-0000-00005B020000}"/>
    <cellStyle name="Normal 38" xfId="119" xr:uid="{00000000-0005-0000-0000-00005C020000}"/>
    <cellStyle name="Normal 38 2" xfId="452" xr:uid="{00000000-0005-0000-0000-00005D020000}"/>
    <cellStyle name="Normal 38 2 2" xfId="635" xr:uid="{00000000-0005-0000-0000-00005E020000}"/>
    <cellStyle name="Normal 38 2 2 2" xfId="1101" xr:uid="{00000000-0005-0000-0000-00005F020000}"/>
    <cellStyle name="Normal 38 2 2 2 2" xfId="1429" xr:uid="{00000000-0005-0000-0000-000060020000}"/>
    <cellStyle name="Normal 38 2 2 3" xfId="1428" xr:uid="{00000000-0005-0000-0000-000061020000}"/>
    <cellStyle name="Normal 38 2 3" xfId="787" xr:uid="{00000000-0005-0000-0000-000062020000}"/>
    <cellStyle name="Normal 38 2 3 2" xfId="1430" xr:uid="{00000000-0005-0000-0000-000063020000}"/>
    <cellStyle name="Normal 38 2 4" xfId="1427" xr:uid="{00000000-0005-0000-0000-000064020000}"/>
    <cellStyle name="Normal 38 3" xfId="537" xr:uid="{00000000-0005-0000-0000-000065020000}"/>
    <cellStyle name="Normal 38 3 2" xfId="679" xr:uid="{00000000-0005-0000-0000-000066020000}"/>
    <cellStyle name="Normal 38 3 2 2" xfId="1144" xr:uid="{00000000-0005-0000-0000-000067020000}"/>
    <cellStyle name="Normal 38 3 2 2 2" xfId="1433" xr:uid="{00000000-0005-0000-0000-000068020000}"/>
    <cellStyle name="Normal 38 3 2 3" xfId="1432" xr:uid="{00000000-0005-0000-0000-000069020000}"/>
    <cellStyle name="Normal 38 3 3" xfId="832" xr:uid="{00000000-0005-0000-0000-00006A020000}"/>
    <cellStyle name="Normal 38 3 3 2" xfId="1434" xr:uid="{00000000-0005-0000-0000-00006B020000}"/>
    <cellStyle name="Normal 38 3 4" xfId="1431" xr:uid="{00000000-0005-0000-0000-00006C020000}"/>
    <cellStyle name="Normal 38 4" xfId="372" xr:uid="{00000000-0005-0000-0000-00006D020000}"/>
    <cellStyle name="Normal 38 4 2" xfId="942" xr:uid="{00000000-0005-0000-0000-00006E020000}"/>
    <cellStyle name="Normal 38 4 2 2" xfId="1436" xr:uid="{00000000-0005-0000-0000-00006F020000}"/>
    <cellStyle name="Normal 38 4 3" xfId="1435" xr:uid="{00000000-0005-0000-0000-000070020000}"/>
    <cellStyle name="Normal 38 5" xfId="589" xr:uid="{00000000-0005-0000-0000-000071020000}"/>
    <cellStyle name="Normal 38 5 2" xfId="1055" xr:uid="{00000000-0005-0000-0000-000072020000}"/>
    <cellStyle name="Normal 38 5 2 2" xfId="1438" xr:uid="{00000000-0005-0000-0000-000073020000}"/>
    <cellStyle name="Normal 38 5 3" xfId="1437" xr:uid="{00000000-0005-0000-0000-000074020000}"/>
    <cellStyle name="Normal 38 6" xfId="256" xr:uid="{00000000-0005-0000-0000-000075020000}"/>
    <cellStyle name="Normal 38 6 2" xfId="884" xr:uid="{00000000-0005-0000-0000-000076020000}"/>
    <cellStyle name="Normal 38 6 2 2" xfId="1440" xr:uid="{00000000-0005-0000-0000-000077020000}"/>
    <cellStyle name="Normal 38 6 3" xfId="1439" xr:uid="{00000000-0005-0000-0000-000078020000}"/>
    <cellStyle name="Normal 38 7" xfId="738" xr:uid="{00000000-0005-0000-0000-000079020000}"/>
    <cellStyle name="Normal 38 7 2" xfId="1441" xr:uid="{00000000-0005-0000-0000-00007A020000}"/>
    <cellStyle name="Normal 38 8" xfId="1205" xr:uid="{00000000-0005-0000-0000-00007B020000}"/>
    <cellStyle name="Normal 39" xfId="33" xr:uid="{00000000-0005-0000-0000-00007C020000}"/>
    <cellStyle name="Normal 39 2" xfId="453" xr:uid="{00000000-0005-0000-0000-00007D020000}"/>
    <cellStyle name="Normal 39 2 2" xfId="1001" xr:uid="{00000000-0005-0000-0000-00007E020000}"/>
    <cellStyle name="Normal 39 3" xfId="314" xr:uid="{00000000-0005-0000-0000-00007F020000}"/>
    <cellStyle name="Normal 39 4" xfId="198" xr:uid="{00000000-0005-0000-0000-000080020000}"/>
    <cellStyle name="Normal 4" xfId="13" xr:uid="{00000000-0005-0000-0000-000081020000}"/>
    <cellStyle name="Normal 4 2" xfId="175" xr:uid="{00000000-0005-0000-0000-000082020000}"/>
    <cellStyle name="Normal 4 2 2" xfId="915" xr:uid="{00000000-0005-0000-0000-000083020000}"/>
    <cellStyle name="Normal 4 3" xfId="454" xr:uid="{00000000-0005-0000-0000-000084020000}"/>
    <cellStyle name="Normal 4 4" xfId="768" xr:uid="{00000000-0005-0000-0000-000085020000}"/>
    <cellStyle name="Normal 40" xfId="35" xr:uid="{00000000-0005-0000-0000-000086020000}"/>
    <cellStyle name="Normal 40 2" xfId="455" xr:uid="{00000000-0005-0000-0000-000087020000}"/>
    <cellStyle name="Normal 40 2 2" xfId="1002" xr:uid="{00000000-0005-0000-0000-000088020000}"/>
    <cellStyle name="Normal 40 3" xfId="316" xr:uid="{00000000-0005-0000-0000-000089020000}"/>
    <cellStyle name="Normal 40 4" xfId="200" xr:uid="{00000000-0005-0000-0000-00008A020000}"/>
    <cellStyle name="Normal 41" xfId="37" xr:uid="{00000000-0005-0000-0000-00008B020000}"/>
    <cellStyle name="Normal 41 2" xfId="456" xr:uid="{00000000-0005-0000-0000-00008C020000}"/>
    <cellStyle name="Normal 41 2 2" xfId="1003" xr:uid="{00000000-0005-0000-0000-00008D020000}"/>
    <cellStyle name="Normal 41 3" xfId="318" xr:uid="{00000000-0005-0000-0000-00008E020000}"/>
    <cellStyle name="Normal 41 4" xfId="202" xr:uid="{00000000-0005-0000-0000-00008F020000}"/>
    <cellStyle name="Normal 42" xfId="39" xr:uid="{00000000-0005-0000-0000-000090020000}"/>
    <cellStyle name="Normal 42 2" xfId="457" xr:uid="{00000000-0005-0000-0000-000091020000}"/>
    <cellStyle name="Normal 42 2 2" xfId="1004" xr:uid="{00000000-0005-0000-0000-000092020000}"/>
    <cellStyle name="Normal 42 3" xfId="320" xr:uid="{00000000-0005-0000-0000-000093020000}"/>
    <cellStyle name="Normal 42 4" xfId="204" xr:uid="{00000000-0005-0000-0000-000094020000}"/>
    <cellStyle name="Normal 43" xfId="41" xr:uid="{00000000-0005-0000-0000-000095020000}"/>
    <cellStyle name="Normal 43 2" xfId="458" xr:uid="{00000000-0005-0000-0000-000096020000}"/>
    <cellStyle name="Normal 43 2 2" xfId="1005" xr:uid="{00000000-0005-0000-0000-000097020000}"/>
    <cellStyle name="Normal 43 3" xfId="322" xr:uid="{00000000-0005-0000-0000-000098020000}"/>
    <cellStyle name="Normal 43 4" xfId="206" xr:uid="{00000000-0005-0000-0000-000099020000}"/>
    <cellStyle name="Normal 44" xfId="43" xr:uid="{00000000-0005-0000-0000-00009A020000}"/>
    <cellStyle name="Normal 44 2" xfId="459" xr:uid="{00000000-0005-0000-0000-00009B020000}"/>
    <cellStyle name="Normal 44 2 2" xfId="1006" xr:uid="{00000000-0005-0000-0000-00009C020000}"/>
    <cellStyle name="Normal 44 3" xfId="324" xr:uid="{00000000-0005-0000-0000-00009D020000}"/>
    <cellStyle name="Normal 44 4" xfId="208" xr:uid="{00000000-0005-0000-0000-00009E020000}"/>
    <cellStyle name="Normal 45" xfId="44" xr:uid="{00000000-0005-0000-0000-00009F020000}"/>
    <cellStyle name="Normal 45 2" xfId="460" xr:uid="{00000000-0005-0000-0000-0000A0020000}"/>
    <cellStyle name="Normal 45 2 2" xfId="1007" xr:uid="{00000000-0005-0000-0000-0000A1020000}"/>
    <cellStyle name="Normal 45 3" xfId="325" xr:uid="{00000000-0005-0000-0000-0000A2020000}"/>
    <cellStyle name="Normal 45 4" xfId="209" xr:uid="{00000000-0005-0000-0000-0000A3020000}"/>
    <cellStyle name="Normal 46" xfId="46" xr:uid="{00000000-0005-0000-0000-0000A4020000}"/>
    <cellStyle name="Normal 46 2" xfId="461" xr:uid="{00000000-0005-0000-0000-0000A5020000}"/>
    <cellStyle name="Normal 46 2 2" xfId="1008" xr:uid="{00000000-0005-0000-0000-0000A6020000}"/>
    <cellStyle name="Normal 46 3" xfId="327" xr:uid="{00000000-0005-0000-0000-0000A7020000}"/>
    <cellStyle name="Normal 46 4" xfId="211" xr:uid="{00000000-0005-0000-0000-0000A8020000}"/>
    <cellStyle name="Normal 47" xfId="48" xr:uid="{00000000-0005-0000-0000-0000A9020000}"/>
    <cellStyle name="Normal 47 2" xfId="462" xr:uid="{00000000-0005-0000-0000-0000AA020000}"/>
    <cellStyle name="Normal 47 2 2" xfId="1009" xr:uid="{00000000-0005-0000-0000-0000AB020000}"/>
    <cellStyle name="Normal 47 3" xfId="329" xr:uid="{00000000-0005-0000-0000-0000AC020000}"/>
    <cellStyle name="Normal 47 4" xfId="213" xr:uid="{00000000-0005-0000-0000-0000AD020000}"/>
    <cellStyle name="Normal 48" xfId="50" xr:uid="{00000000-0005-0000-0000-0000AE020000}"/>
    <cellStyle name="Normal 48 2" xfId="463" xr:uid="{00000000-0005-0000-0000-0000AF020000}"/>
    <cellStyle name="Normal 48 2 2" xfId="1010" xr:uid="{00000000-0005-0000-0000-0000B0020000}"/>
    <cellStyle name="Normal 48 3" xfId="331" xr:uid="{00000000-0005-0000-0000-0000B1020000}"/>
    <cellStyle name="Normal 48 4" xfId="215" xr:uid="{00000000-0005-0000-0000-0000B2020000}"/>
    <cellStyle name="Normal 49" xfId="52" xr:uid="{00000000-0005-0000-0000-0000B3020000}"/>
    <cellStyle name="Normal 49 2" xfId="464" xr:uid="{00000000-0005-0000-0000-0000B4020000}"/>
    <cellStyle name="Normal 49 2 2" xfId="1011" xr:uid="{00000000-0005-0000-0000-0000B5020000}"/>
    <cellStyle name="Normal 49 3" xfId="333" xr:uid="{00000000-0005-0000-0000-0000B6020000}"/>
    <cellStyle name="Normal 49 4" xfId="217" xr:uid="{00000000-0005-0000-0000-0000B7020000}"/>
    <cellStyle name="Normal 5" xfId="120" xr:uid="{00000000-0005-0000-0000-0000B8020000}"/>
    <cellStyle name="Normal 5 10" xfId="739" xr:uid="{00000000-0005-0000-0000-0000B9020000}"/>
    <cellStyle name="Normal 5 10 2" xfId="1442" xr:uid="{00000000-0005-0000-0000-0000BA020000}"/>
    <cellStyle name="Normal 5 11" xfId="1206" xr:uid="{00000000-0005-0000-0000-0000BB020000}"/>
    <cellStyle name="Normal 5 2" xfId="121" xr:uid="{00000000-0005-0000-0000-0000BC020000}"/>
    <cellStyle name="Normal 5 2 10" xfId="1207" xr:uid="{00000000-0005-0000-0000-0000BD020000}"/>
    <cellStyle name="Normal 5 2 2" xfId="122" xr:uid="{00000000-0005-0000-0000-0000BE020000}"/>
    <cellStyle name="Normal 5 2 2 2" xfId="467" xr:uid="{00000000-0005-0000-0000-0000BF020000}"/>
    <cellStyle name="Normal 5 2 2 2 2" xfId="638" xr:uid="{00000000-0005-0000-0000-0000C0020000}"/>
    <cellStyle name="Normal 5 2 2 2 2 2" xfId="1104" xr:uid="{00000000-0005-0000-0000-0000C1020000}"/>
    <cellStyle name="Normal 5 2 2 2 2 2 2" xfId="1445" xr:uid="{00000000-0005-0000-0000-0000C2020000}"/>
    <cellStyle name="Normal 5 2 2 2 2 3" xfId="1444" xr:uid="{00000000-0005-0000-0000-0000C3020000}"/>
    <cellStyle name="Normal 5 2 2 2 3" xfId="791" xr:uid="{00000000-0005-0000-0000-0000C4020000}"/>
    <cellStyle name="Normal 5 2 2 2 3 2" xfId="1446" xr:uid="{00000000-0005-0000-0000-0000C5020000}"/>
    <cellStyle name="Normal 5 2 2 2 4" xfId="1443" xr:uid="{00000000-0005-0000-0000-0000C6020000}"/>
    <cellStyle name="Normal 5 2 2 3" xfId="541" xr:uid="{00000000-0005-0000-0000-0000C7020000}"/>
    <cellStyle name="Normal 5 2 2 3 2" xfId="682" xr:uid="{00000000-0005-0000-0000-0000C8020000}"/>
    <cellStyle name="Normal 5 2 2 3 2 2" xfId="1147" xr:uid="{00000000-0005-0000-0000-0000C9020000}"/>
    <cellStyle name="Normal 5 2 2 3 2 2 2" xfId="1449" xr:uid="{00000000-0005-0000-0000-0000CA020000}"/>
    <cellStyle name="Normal 5 2 2 3 2 3" xfId="1448" xr:uid="{00000000-0005-0000-0000-0000CB020000}"/>
    <cellStyle name="Normal 5 2 2 3 3" xfId="835" xr:uid="{00000000-0005-0000-0000-0000CC020000}"/>
    <cellStyle name="Normal 5 2 2 3 3 2" xfId="1450" xr:uid="{00000000-0005-0000-0000-0000CD020000}"/>
    <cellStyle name="Normal 5 2 2 3 4" xfId="1447" xr:uid="{00000000-0005-0000-0000-0000CE020000}"/>
    <cellStyle name="Normal 5 2 2 4" xfId="375" xr:uid="{00000000-0005-0000-0000-0000CF020000}"/>
    <cellStyle name="Normal 5 2 2 4 2" xfId="945" xr:uid="{00000000-0005-0000-0000-0000D0020000}"/>
    <cellStyle name="Normal 5 2 2 4 2 2" xfId="1452" xr:uid="{00000000-0005-0000-0000-0000D1020000}"/>
    <cellStyle name="Normal 5 2 2 4 3" xfId="1451" xr:uid="{00000000-0005-0000-0000-0000D2020000}"/>
    <cellStyle name="Normal 5 2 2 5" xfId="592" xr:uid="{00000000-0005-0000-0000-0000D3020000}"/>
    <cellStyle name="Normal 5 2 2 5 2" xfId="1058" xr:uid="{00000000-0005-0000-0000-0000D4020000}"/>
    <cellStyle name="Normal 5 2 2 5 2 2" xfId="1454" xr:uid="{00000000-0005-0000-0000-0000D5020000}"/>
    <cellStyle name="Normal 5 2 2 5 3" xfId="1453" xr:uid="{00000000-0005-0000-0000-0000D6020000}"/>
    <cellStyle name="Normal 5 2 2 6" xfId="259" xr:uid="{00000000-0005-0000-0000-0000D7020000}"/>
    <cellStyle name="Normal 5 2 2 6 2" xfId="887" xr:uid="{00000000-0005-0000-0000-0000D8020000}"/>
    <cellStyle name="Normal 5 2 2 6 2 2" xfId="1456" xr:uid="{00000000-0005-0000-0000-0000D9020000}"/>
    <cellStyle name="Normal 5 2 2 6 3" xfId="1455" xr:uid="{00000000-0005-0000-0000-0000DA020000}"/>
    <cellStyle name="Normal 5 2 2 7" xfId="741" xr:uid="{00000000-0005-0000-0000-0000DB020000}"/>
    <cellStyle name="Normal 5 2 2 7 2" xfId="1457" xr:uid="{00000000-0005-0000-0000-0000DC020000}"/>
    <cellStyle name="Normal 5 2 2 8" xfId="1208" xr:uid="{00000000-0005-0000-0000-0000DD020000}"/>
    <cellStyle name="Normal 5 2 3" xfId="123" xr:uid="{00000000-0005-0000-0000-0000DE020000}"/>
    <cellStyle name="Normal 5 2 3 2" xfId="468" xr:uid="{00000000-0005-0000-0000-0000DF020000}"/>
    <cellStyle name="Normal 5 2 3 2 2" xfId="639" xr:uid="{00000000-0005-0000-0000-0000E0020000}"/>
    <cellStyle name="Normal 5 2 3 2 2 2" xfId="1105" xr:uid="{00000000-0005-0000-0000-0000E1020000}"/>
    <cellStyle name="Normal 5 2 3 2 2 2 2" xfId="1460" xr:uid="{00000000-0005-0000-0000-0000E2020000}"/>
    <cellStyle name="Normal 5 2 3 2 2 3" xfId="1459" xr:uid="{00000000-0005-0000-0000-0000E3020000}"/>
    <cellStyle name="Normal 5 2 3 2 3" xfId="792" xr:uid="{00000000-0005-0000-0000-0000E4020000}"/>
    <cellStyle name="Normal 5 2 3 2 3 2" xfId="1461" xr:uid="{00000000-0005-0000-0000-0000E5020000}"/>
    <cellStyle name="Normal 5 2 3 2 4" xfId="1458" xr:uid="{00000000-0005-0000-0000-0000E6020000}"/>
    <cellStyle name="Normal 5 2 3 3" xfId="542" xr:uid="{00000000-0005-0000-0000-0000E7020000}"/>
    <cellStyle name="Normal 5 2 3 3 2" xfId="683" xr:uid="{00000000-0005-0000-0000-0000E8020000}"/>
    <cellStyle name="Normal 5 2 3 3 2 2" xfId="1148" xr:uid="{00000000-0005-0000-0000-0000E9020000}"/>
    <cellStyle name="Normal 5 2 3 3 2 2 2" xfId="1464" xr:uid="{00000000-0005-0000-0000-0000EA020000}"/>
    <cellStyle name="Normal 5 2 3 3 2 3" xfId="1463" xr:uid="{00000000-0005-0000-0000-0000EB020000}"/>
    <cellStyle name="Normal 5 2 3 3 3" xfId="836" xr:uid="{00000000-0005-0000-0000-0000EC020000}"/>
    <cellStyle name="Normal 5 2 3 3 3 2" xfId="1465" xr:uid="{00000000-0005-0000-0000-0000ED020000}"/>
    <cellStyle name="Normal 5 2 3 3 4" xfId="1462" xr:uid="{00000000-0005-0000-0000-0000EE020000}"/>
    <cellStyle name="Normal 5 2 3 4" xfId="376" xr:uid="{00000000-0005-0000-0000-0000EF020000}"/>
    <cellStyle name="Normal 5 2 3 4 2" xfId="946" xr:uid="{00000000-0005-0000-0000-0000F0020000}"/>
    <cellStyle name="Normal 5 2 3 4 2 2" xfId="1467" xr:uid="{00000000-0005-0000-0000-0000F1020000}"/>
    <cellStyle name="Normal 5 2 3 4 3" xfId="1466" xr:uid="{00000000-0005-0000-0000-0000F2020000}"/>
    <cellStyle name="Normal 5 2 3 5" xfId="593" xr:uid="{00000000-0005-0000-0000-0000F3020000}"/>
    <cellStyle name="Normal 5 2 3 5 2" xfId="1059" xr:uid="{00000000-0005-0000-0000-0000F4020000}"/>
    <cellStyle name="Normal 5 2 3 5 2 2" xfId="1469" xr:uid="{00000000-0005-0000-0000-0000F5020000}"/>
    <cellStyle name="Normal 5 2 3 5 3" xfId="1468" xr:uid="{00000000-0005-0000-0000-0000F6020000}"/>
    <cellStyle name="Normal 5 2 3 6" xfId="260" xr:uid="{00000000-0005-0000-0000-0000F7020000}"/>
    <cellStyle name="Normal 5 2 3 6 2" xfId="888" xr:uid="{00000000-0005-0000-0000-0000F8020000}"/>
    <cellStyle name="Normal 5 2 3 6 2 2" xfId="1471" xr:uid="{00000000-0005-0000-0000-0000F9020000}"/>
    <cellStyle name="Normal 5 2 3 6 3" xfId="1470" xr:uid="{00000000-0005-0000-0000-0000FA020000}"/>
    <cellStyle name="Normal 5 2 3 7" xfId="742" xr:uid="{00000000-0005-0000-0000-0000FB020000}"/>
    <cellStyle name="Normal 5 2 3 7 2" xfId="1472" xr:uid="{00000000-0005-0000-0000-0000FC020000}"/>
    <cellStyle name="Normal 5 2 3 8" xfId="1209" xr:uid="{00000000-0005-0000-0000-0000FD020000}"/>
    <cellStyle name="Normal 5 2 4" xfId="466" xr:uid="{00000000-0005-0000-0000-0000FE020000}"/>
    <cellStyle name="Normal 5 2 4 2" xfId="637" xr:uid="{00000000-0005-0000-0000-0000FF020000}"/>
    <cellStyle name="Normal 5 2 4 2 2" xfId="1103" xr:uid="{00000000-0005-0000-0000-000000030000}"/>
    <cellStyle name="Normal 5 2 4 2 2 2" xfId="1475" xr:uid="{00000000-0005-0000-0000-000001030000}"/>
    <cellStyle name="Normal 5 2 4 2 3" xfId="1474" xr:uid="{00000000-0005-0000-0000-000002030000}"/>
    <cellStyle name="Normal 5 2 4 3" xfId="790" xr:uid="{00000000-0005-0000-0000-000003030000}"/>
    <cellStyle name="Normal 5 2 4 3 2" xfId="1476" xr:uid="{00000000-0005-0000-0000-000004030000}"/>
    <cellStyle name="Normal 5 2 4 4" xfId="1473" xr:uid="{00000000-0005-0000-0000-000005030000}"/>
    <cellStyle name="Normal 5 2 5" xfId="540" xr:uid="{00000000-0005-0000-0000-000006030000}"/>
    <cellStyle name="Normal 5 2 5 2" xfId="681" xr:uid="{00000000-0005-0000-0000-000007030000}"/>
    <cellStyle name="Normal 5 2 5 2 2" xfId="1146" xr:uid="{00000000-0005-0000-0000-000008030000}"/>
    <cellStyle name="Normal 5 2 5 2 2 2" xfId="1479" xr:uid="{00000000-0005-0000-0000-000009030000}"/>
    <cellStyle name="Normal 5 2 5 2 3" xfId="1478" xr:uid="{00000000-0005-0000-0000-00000A030000}"/>
    <cellStyle name="Normal 5 2 5 3" xfId="834" xr:uid="{00000000-0005-0000-0000-00000B030000}"/>
    <cellStyle name="Normal 5 2 5 3 2" xfId="1480" xr:uid="{00000000-0005-0000-0000-00000C030000}"/>
    <cellStyle name="Normal 5 2 5 4" xfId="1477" xr:uid="{00000000-0005-0000-0000-00000D030000}"/>
    <cellStyle name="Normal 5 2 6" xfId="374" xr:uid="{00000000-0005-0000-0000-00000E030000}"/>
    <cellStyle name="Normal 5 2 6 2" xfId="944" xr:uid="{00000000-0005-0000-0000-00000F030000}"/>
    <cellStyle name="Normal 5 2 6 2 2" xfId="1482" xr:uid="{00000000-0005-0000-0000-000010030000}"/>
    <cellStyle name="Normal 5 2 6 3" xfId="1481" xr:uid="{00000000-0005-0000-0000-000011030000}"/>
    <cellStyle name="Normal 5 2 7" xfId="591" xr:uid="{00000000-0005-0000-0000-000012030000}"/>
    <cellStyle name="Normal 5 2 7 2" xfId="1057" xr:uid="{00000000-0005-0000-0000-000013030000}"/>
    <cellStyle name="Normal 5 2 7 2 2" xfId="1484" xr:uid="{00000000-0005-0000-0000-000014030000}"/>
    <cellStyle name="Normal 5 2 7 3" xfId="1483" xr:uid="{00000000-0005-0000-0000-000015030000}"/>
    <cellStyle name="Normal 5 2 8" xfId="258" xr:uid="{00000000-0005-0000-0000-000016030000}"/>
    <cellStyle name="Normal 5 2 8 2" xfId="886" xr:uid="{00000000-0005-0000-0000-000017030000}"/>
    <cellStyle name="Normal 5 2 8 2 2" xfId="1486" xr:uid="{00000000-0005-0000-0000-000018030000}"/>
    <cellStyle name="Normal 5 2 8 3" xfId="1485" xr:uid="{00000000-0005-0000-0000-000019030000}"/>
    <cellStyle name="Normal 5 2 9" xfId="740" xr:uid="{00000000-0005-0000-0000-00001A030000}"/>
    <cellStyle name="Normal 5 2 9 2" xfId="1487" xr:uid="{00000000-0005-0000-0000-00001B030000}"/>
    <cellStyle name="Normal 5 3" xfId="124" xr:uid="{00000000-0005-0000-0000-00001C030000}"/>
    <cellStyle name="Normal 5 3 2" xfId="469" xr:uid="{00000000-0005-0000-0000-00001D030000}"/>
    <cellStyle name="Normal 5 3 2 2" xfId="640" xr:uid="{00000000-0005-0000-0000-00001E030000}"/>
    <cellStyle name="Normal 5 3 2 2 2" xfId="1106" xr:uid="{00000000-0005-0000-0000-00001F030000}"/>
    <cellStyle name="Normal 5 3 2 2 2 2" xfId="1490" xr:uid="{00000000-0005-0000-0000-000020030000}"/>
    <cellStyle name="Normal 5 3 2 2 3" xfId="1489" xr:uid="{00000000-0005-0000-0000-000021030000}"/>
    <cellStyle name="Normal 5 3 2 3" xfId="793" xr:uid="{00000000-0005-0000-0000-000022030000}"/>
    <cellStyle name="Normal 5 3 2 3 2" xfId="1491" xr:uid="{00000000-0005-0000-0000-000023030000}"/>
    <cellStyle name="Normal 5 3 2 4" xfId="1488" xr:uid="{00000000-0005-0000-0000-000024030000}"/>
    <cellStyle name="Normal 5 3 3" xfId="543" xr:uid="{00000000-0005-0000-0000-000025030000}"/>
    <cellStyle name="Normal 5 3 3 2" xfId="684" xr:uid="{00000000-0005-0000-0000-000026030000}"/>
    <cellStyle name="Normal 5 3 3 2 2" xfId="1149" xr:uid="{00000000-0005-0000-0000-000027030000}"/>
    <cellStyle name="Normal 5 3 3 2 2 2" xfId="1494" xr:uid="{00000000-0005-0000-0000-000028030000}"/>
    <cellStyle name="Normal 5 3 3 2 3" xfId="1493" xr:uid="{00000000-0005-0000-0000-000029030000}"/>
    <cellStyle name="Normal 5 3 3 3" xfId="837" xr:uid="{00000000-0005-0000-0000-00002A030000}"/>
    <cellStyle name="Normal 5 3 3 3 2" xfId="1495" xr:uid="{00000000-0005-0000-0000-00002B030000}"/>
    <cellStyle name="Normal 5 3 3 4" xfId="1492" xr:uid="{00000000-0005-0000-0000-00002C030000}"/>
    <cellStyle name="Normal 5 3 4" xfId="377" xr:uid="{00000000-0005-0000-0000-00002D030000}"/>
    <cellStyle name="Normal 5 3 4 2" xfId="947" xr:uid="{00000000-0005-0000-0000-00002E030000}"/>
    <cellStyle name="Normal 5 3 4 2 2" xfId="1497" xr:uid="{00000000-0005-0000-0000-00002F030000}"/>
    <cellStyle name="Normal 5 3 4 3" xfId="1496" xr:uid="{00000000-0005-0000-0000-000030030000}"/>
    <cellStyle name="Normal 5 3 5" xfId="594" xr:uid="{00000000-0005-0000-0000-000031030000}"/>
    <cellStyle name="Normal 5 3 5 2" xfId="1060" xr:uid="{00000000-0005-0000-0000-000032030000}"/>
    <cellStyle name="Normal 5 3 5 2 2" xfId="1499" xr:uid="{00000000-0005-0000-0000-000033030000}"/>
    <cellStyle name="Normal 5 3 5 3" xfId="1498" xr:uid="{00000000-0005-0000-0000-000034030000}"/>
    <cellStyle name="Normal 5 3 6" xfId="261" xr:uid="{00000000-0005-0000-0000-000035030000}"/>
    <cellStyle name="Normal 5 3 6 2" xfId="889" xr:uid="{00000000-0005-0000-0000-000036030000}"/>
    <cellStyle name="Normal 5 3 6 2 2" xfId="1501" xr:uid="{00000000-0005-0000-0000-000037030000}"/>
    <cellStyle name="Normal 5 3 6 3" xfId="1500" xr:uid="{00000000-0005-0000-0000-000038030000}"/>
    <cellStyle name="Normal 5 3 7" xfId="743" xr:uid="{00000000-0005-0000-0000-000039030000}"/>
    <cellStyle name="Normal 5 3 7 2" xfId="1502" xr:uid="{00000000-0005-0000-0000-00003A030000}"/>
    <cellStyle name="Normal 5 3 8" xfId="1210" xr:uid="{00000000-0005-0000-0000-00003B030000}"/>
    <cellStyle name="Normal 5 4" xfId="125" xr:uid="{00000000-0005-0000-0000-00003C030000}"/>
    <cellStyle name="Normal 5 4 2" xfId="470" xr:uid="{00000000-0005-0000-0000-00003D030000}"/>
    <cellStyle name="Normal 5 4 2 2" xfId="641" xr:uid="{00000000-0005-0000-0000-00003E030000}"/>
    <cellStyle name="Normal 5 4 2 2 2" xfId="1107" xr:uid="{00000000-0005-0000-0000-00003F030000}"/>
    <cellStyle name="Normal 5 4 2 2 2 2" xfId="1505" xr:uid="{00000000-0005-0000-0000-000040030000}"/>
    <cellStyle name="Normal 5 4 2 2 3" xfId="1504" xr:uid="{00000000-0005-0000-0000-000041030000}"/>
    <cellStyle name="Normal 5 4 2 3" xfId="794" xr:uid="{00000000-0005-0000-0000-000042030000}"/>
    <cellStyle name="Normal 5 4 2 3 2" xfId="1506" xr:uid="{00000000-0005-0000-0000-000043030000}"/>
    <cellStyle name="Normal 5 4 2 4" xfId="1503" xr:uid="{00000000-0005-0000-0000-000044030000}"/>
    <cellStyle name="Normal 5 4 3" xfId="544" xr:uid="{00000000-0005-0000-0000-000045030000}"/>
    <cellStyle name="Normal 5 4 3 2" xfId="685" xr:uid="{00000000-0005-0000-0000-000046030000}"/>
    <cellStyle name="Normal 5 4 3 2 2" xfId="1150" xr:uid="{00000000-0005-0000-0000-000047030000}"/>
    <cellStyle name="Normal 5 4 3 2 2 2" xfId="1509" xr:uid="{00000000-0005-0000-0000-000048030000}"/>
    <cellStyle name="Normal 5 4 3 2 3" xfId="1508" xr:uid="{00000000-0005-0000-0000-000049030000}"/>
    <cellStyle name="Normal 5 4 3 3" xfId="838" xr:uid="{00000000-0005-0000-0000-00004A030000}"/>
    <cellStyle name="Normal 5 4 3 3 2" xfId="1510" xr:uid="{00000000-0005-0000-0000-00004B030000}"/>
    <cellStyle name="Normal 5 4 3 4" xfId="1507" xr:uid="{00000000-0005-0000-0000-00004C030000}"/>
    <cellStyle name="Normal 5 4 4" xfId="378" xr:uid="{00000000-0005-0000-0000-00004D030000}"/>
    <cellStyle name="Normal 5 4 4 2" xfId="948" xr:uid="{00000000-0005-0000-0000-00004E030000}"/>
    <cellStyle name="Normal 5 4 4 2 2" xfId="1512" xr:uid="{00000000-0005-0000-0000-00004F030000}"/>
    <cellStyle name="Normal 5 4 4 3" xfId="1511" xr:uid="{00000000-0005-0000-0000-000050030000}"/>
    <cellStyle name="Normal 5 4 5" xfId="595" xr:uid="{00000000-0005-0000-0000-000051030000}"/>
    <cellStyle name="Normal 5 4 5 2" xfId="1061" xr:uid="{00000000-0005-0000-0000-000052030000}"/>
    <cellStyle name="Normal 5 4 5 2 2" xfId="1514" xr:uid="{00000000-0005-0000-0000-000053030000}"/>
    <cellStyle name="Normal 5 4 5 3" xfId="1513" xr:uid="{00000000-0005-0000-0000-000054030000}"/>
    <cellStyle name="Normal 5 4 6" xfId="262" xr:uid="{00000000-0005-0000-0000-000055030000}"/>
    <cellStyle name="Normal 5 4 6 2" xfId="890" xr:uid="{00000000-0005-0000-0000-000056030000}"/>
    <cellStyle name="Normal 5 4 6 2 2" xfId="1516" xr:uid="{00000000-0005-0000-0000-000057030000}"/>
    <cellStyle name="Normal 5 4 6 3" xfId="1515" xr:uid="{00000000-0005-0000-0000-000058030000}"/>
    <cellStyle name="Normal 5 4 7" xfId="744" xr:uid="{00000000-0005-0000-0000-000059030000}"/>
    <cellStyle name="Normal 5 4 7 2" xfId="1517" xr:uid="{00000000-0005-0000-0000-00005A030000}"/>
    <cellStyle name="Normal 5 4 8" xfId="1211" xr:uid="{00000000-0005-0000-0000-00005B030000}"/>
    <cellStyle name="Normal 5 5" xfId="465" xr:uid="{00000000-0005-0000-0000-00005C030000}"/>
    <cellStyle name="Normal 5 5 2" xfId="636" xr:uid="{00000000-0005-0000-0000-00005D030000}"/>
    <cellStyle name="Normal 5 5 2 2" xfId="1102" xr:uid="{00000000-0005-0000-0000-00005E030000}"/>
    <cellStyle name="Normal 5 5 2 2 2" xfId="1520" xr:uid="{00000000-0005-0000-0000-00005F030000}"/>
    <cellStyle name="Normal 5 5 2 3" xfId="1519" xr:uid="{00000000-0005-0000-0000-000060030000}"/>
    <cellStyle name="Normal 5 5 3" xfId="789" xr:uid="{00000000-0005-0000-0000-000061030000}"/>
    <cellStyle name="Normal 5 5 3 2" xfId="1521" xr:uid="{00000000-0005-0000-0000-000062030000}"/>
    <cellStyle name="Normal 5 5 4" xfId="1518" xr:uid="{00000000-0005-0000-0000-000063030000}"/>
    <cellStyle name="Normal 5 6" xfId="539" xr:uid="{00000000-0005-0000-0000-000064030000}"/>
    <cellStyle name="Normal 5 6 2" xfId="680" xr:uid="{00000000-0005-0000-0000-000065030000}"/>
    <cellStyle name="Normal 5 6 2 2" xfId="1145" xr:uid="{00000000-0005-0000-0000-000066030000}"/>
    <cellStyle name="Normal 5 6 2 2 2" xfId="1524" xr:uid="{00000000-0005-0000-0000-000067030000}"/>
    <cellStyle name="Normal 5 6 2 3" xfId="1523" xr:uid="{00000000-0005-0000-0000-000068030000}"/>
    <cellStyle name="Normal 5 6 3" xfId="833" xr:uid="{00000000-0005-0000-0000-000069030000}"/>
    <cellStyle name="Normal 5 6 3 2" xfId="1525" xr:uid="{00000000-0005-0000-0000-00006A030000}"/>
    <cellStyle name="Normal 5 6 4" xfId="1522" xr:uid="{00000000-0005-0000-0000-00006B030000}"/>
    <cellStyle name="Normal 5 7" xfId="373" xr:uid="{00000000-0005-0000-0000-00006C030000}"/>
    <cellStyle name="Normal 5 7 2" xfId="943" xr:uid="{00000000-0005-0000-0000-00006D030000}"/>
    <cellStyle name="Normal 5 7 2 2" xfId="1527" xr:uid="{00000000-0005-0000-0000-00006E030000}"/>
    <cellStyle name="Normal 5 7 3" xfId="1526" xr:uid="{00000000-0005-0000-0000-00006F030000}"/>
    <cellStyle name="Normal 5 8" xfId="590" xr:uid="{00000000-0005-0000-0000-000070030000}"/>
    <cellStyle name="Normal 5 8 2" xfId="1056" xr:uid="{00000000-0005-0000-0000-000071030000}"/>
    <cellStyle name="Normal 5 8 2 2" xfId="1529" xr:uid="{00000000-0005-0000-0000-000072030000}"/>
    <cellStyle name="Normal 5 8 3" xfId="1528" xr:uid="{00000000-0005-0000-0000-000073030000}"/>
    <cellStyle name="Normal 5 9" xfId="257" xr:uid="{00000000-0005-0000-0000-000074030000}"/>
    <cellStyle name="Normal 5 9 2" xfId="885" xr:uid="{00000000-0005-0000-0000-000075030000}"/>
    <cellStyle name="Normal 5 9 2 2" xfId="1531" xr:uid="{00000000-0005-0000-0000-000076030000}"/>
    <cellStyle name="Normal 5 9 3" xfId="1530" xr:uid="{00000000-0005-0000-0000-000077030000}"/>
    <cellStyle name="Normal 50" xfId="53" xr:uid="{00000000-0005-0000-0000-000078030000}"/>
    <cellStyle name="Normal 50 2" xfId="471" xr:uid="{00000000-0005-0000-0000-000079030000}"/>
    <cellStyle name="Normal 50 2 2" xfId="1012" xr:uid="{00000000-0005-0000-0000-00007A030000}"/>
    <cellStyle name="Normal 50 3" xfId="334" xr:uid="{00000000-0005-0000-0000-00007B030000}"/>
    <cellStyle name="Normal 50 4" xfId="218" xr:uid="{00000000-0005-0000-0000-00007C030000}"/>
    <cellStyle name="Normal 51" xfId="54" xr:uid="{00000000-0005-0000-0000-00007D030000}"/>
    <cellStyle name="Normal 51 2" xfId="472" xr:uid="{00000000-0005-0000-0000-00007E030000}"/>
    <cellStyle name="Normal 51 2 2" xfId="1013" xr:uid="{00000000-0005-0000-0000-00007F030000}"/>
    <cellStyle name="Normal 51 3" xfId="335" xr:uid="{00000000-0005-0000-0000-000080030000}"/>
    <cellStyle name="Normal 51 4" xfId="219" xr:uid="{00000000-0005-0000-0000-000081030000}"/>
    <cellStyle name="Normal 52" xfId="55" xr:uid="{00000000-0005-0000-0000-000082030000}"/>
    <cellStyle name="Normal 52 2" xfId="473" xr:uid="{00000000-0005-0000-0000-000083030000}"/>
    <cellStyle name="Normal 52 2 2" xfId="1014" xr:uid="{00000000-0005-0000-0000-000084030000}"/>
    <cellStyle name="Normal 52 3" xfId="336" xr:uid="{00000000-0005-0000-0000-000085030000}"/>
    <cellStyle name="Normal 52 4" xfId="220" xr:uid="{00000000-0005-0000-0000-000086030000}"/>
    <cellStyle name="Normal 53" xfId="57" xr:uid="{00000000-0005-0000-0000-000087030000}"/>
    <cellStyle name="Normal 53 2" xfId="474" xr:uid="{00000000-0005-0000-0000-000088030000}"/>
    <cellStyle name="Normal 53 2 2" xfId="1015" xr:uid="{00000000-0005-0000-0000-000089030000}"/>
    <cellStyle name="Normal 53 3" xfId="338" xr:uid="{00000000-0005-0000-0000-00008A030000}"/>
    <cellStyle name="Normal 53 4" xfId="222" xr:uid="{00000000-0005-0000-0000-00008B030000}"/>
    <cellStyle name="Normal 54" xfId="60" xr:uid="{00000000-0005-0000-0000-00008C030000}"/>
    <cellStyle name="Normal 54 2" xfId="475" xr:uid="{00000000-0005-0000-0000-00008D030000}"/>
    <cellStyle name="Normal 54 2 2" xfId="1016" xr:uid="{00000000-0005-0000-0000-00008E030000}"/>
    <cellStyle name="Normal 54 3" xfId="341" xr:uid="{00000000-0005-0000-0000-00008F030000}"/>
    <cellStyle name="Normal 54 4" xfId="225" xr:uid="{00000000-0005-0000-0000-000090030000}"/>
    <cellStyle name="Normal 55" xfId="62" xr:uid="{00000000-0005-0000-0000-000091030000}"/>
    <cellStyle name="Normal 55 2" xfId="476" xr:uid="{00000000-0005-0000-0000-000092030000}"/>
    <cellStyle name="Normal 55 2 2" xfId="1017" xr:uid="{00000000-0005-0000-0000-000093030000}"/>
    <cellStyle name="Normal 55 3" xfId="343" xr:uid="{00000000-0005-0000-0000-000094030000}"/>
    <cellStyle name="Normal 55 4" xfId="227" xr:uid="{00000000-0005-0000-0000-000095030000}"/>
    <cellStyle name="Normal 56" xfId="64" xr:uid="{00000000-0005-0000-0000-000096030000}"/>
    <cellStyle name="Normal 56 2" xfId="477" xr:uid="{00000000-0005-0000-0000-000097030000}"/>
    <cellStyle name="Normal 56 2 2" xfId="1018" xr:uid="{00000000-0005-0000-0000-000098030000}"/>
    <cellStyle name="Normal 56 3" xfId="345" xr:uid="{00000000-0005-0000-0000-000099030000}"/>
    <cellStyle name="Normal 56 4" xfId="229" xr:uid="{00000000-0005-0000-0000-00009A030000}"/>
    <cellStyle name="Normal 57" xfId="66" xr:uid="{00000000-0005-0000-0000-00009B030000}"/>
    <cellStyle name="Normal 57 2" xfId="478" xr:uid="{00000000-0005-0000-0000-00009C030000}"/>
    <cellStyle name="Normal 57 2 2" xfId="1019" xr:uid="{00000000-0005-0000-0000-00009D030000}"/>
    <cellStyle name="Normal 57 3" xfId="347" xr:uid="{00000000-0005-0000-0000-00009E030000}"/>
    <cellStyle name="Normal 57 4" xfId="231" xr:uid="{00000000-0005-0000-0000-00009F030000}"/>
    <cellStyle name="Normal 58" xfId="68" xr:uid="{00000000-0005-0000-0000-0000A0030000}"/>
    <cellStyle name="Normal 58 2" xfId="479" xr:uid="{00000000-0005-0000-0000-0000A1030000}"/>
    <cellStyle name="Normal 58 2 2" xfId="1020" xr:uid="{00000000-0005-0000-0000-0000A2030000}"/>
    <cellStyle name="Normal 58 3" xfId="349" xr:uid="{00000000-0005-0000-0000-0000A3030000}"/>
    <cellStyle name="Normal 58 4" xfId="233" xr:uid="{00000000-0005-0000-0000-0000A4030000}"/>
    <cellStyle name="Normal 59" xfId="69" xr:uid="{00000000-0005-0000-0000-0000A5030000}"/>
    <cellStyle name="Normal 59 2" xfId="480" xr:uid="{00000000-0005-0000-0000-0000A6030000}"/>
    <cellStyle name="Normal 59 2 2" xfId="1021" xr:uid="{00000000-0005-0000-0000-0000A7030000}"/>
    <cellStyle name="Normal 59 3" xfId="350" xr:uid="{00000000-0005-0000-0000-0000A8030000}"/>
    <cellStyle name="Normal 59 4" xfId="234" xr:uid="{00000000-0005-0000-0000-0000A9030000}"/>
    <cellStyle name="Normal 6" xfId="14" xr:uid="{00000000-0005-0000-0000-0000AA030000}"/>
    <cellStyle name="Normal 6 10" xfId="191" xr:uid="{00000000-0005-0000-0000-0000AB030000}"/>
    <cellStyle name="Normal 6 10 2" xfId="867" xr:uid="{00000000-0005-0000-0000-0000AC030000}"/>
    <cellStyle name="Normal 6 10 2 2" xfId="1533" xr:uid="{00000000-0005-0000-0000-0000AD030000}"/>
    <cellStyle name="Normal 6 10 3" xfId="1532" xr:uid="{00000000-0005-0000-0000-0000AE030000}"/>
    <cellStyle name="Normal 6 11" xfId="724" xr:uid="{00000000-0005-0000-0000-0000AF030000}"/>
    <cellStyle name="Normal 6 11 2" xfId="1534" xr:uid="{00000000-0005-0000-0000-0000B0030000}"/>
    <cellStyle name="Normal 6 12" xfId="1193" xr:uid="{00000000-0005-0000-0000-0000B1030000}"/>
    <cellStyle name="Normal 6 2" xfId="126" xr:uid="{00000000-0005-0000-0000-0000B2030000}"/>
    <cellStyle name="Normal 6 2 10" xfId="745" xr:uid="{00000000-0005-0000-0000-0000B3030000}"/>
    <cellStyle name="Normal 6 2 10 2" xfId="1535" xr:uid="{00000000-0005-0000-0000-0000B4030000}"/>
    <cellStyle name="Normal 6 2 11" xfId="1212" xr:uid="{00000000-0005-0000-0000-0000B5030000}"/>
    <cellStyle name="Normal 6 2 2" xfId="127" xr:uid="{00000000-0005-0000-0000-0000B6030000}"/>
    <cellStyle name="Normal 6 2 2 10" xfId="1213" xr:uid="{00000000-0005-0000-0000-0000B7030000}"/>
    <cellStyle name="Normal 6 2 2 2" xfId="128" xr:uid="{00000000-0005-0000-0000-0000B8030000}"/>
    <cellStyle name="Normal 6 2 2 2 2" xfId="484" xr:uid="{00000000-0005-0000-0000-0000B9030000}"/>
    <cellStyle name="Normal 6 2 2 2 2 2" xfId="645" xr:uid="{00000000-0005-0000-0000-0000BA030000}"/>
    <cellStyle name="Normal 6 2 2 2 2 2 2" xfId="1111" xr:uid="{00000000-0005-0000-0000-0000BB030000}"/>
    <cellStyle name="Normal 6 2 2 2 2 2 2 2" xfId="1538" xr:uid="{00000000-0005-0000-0000-0000BC030000}"/>
    <cellStyle name="Normal 6 2 2 2 2 2 3" xfId="1537" xr:uid="{00000000-0005-0000-0000-0000BD030000}"/>
    <cellStyle name="Normal 6 2 2 2 2 3" xfId="798" xr:uid="{00000000-0005-0000-0000-0000BE030000}"/>
    <cellStyle name="Normal 6 2 2 2 2 3 2" xfId="1539" xr:uid="{00000000-0005-0000-0000-0000BF030000}"/>
    <cellStyle name="Normal 6 2 2 2 2 4" xfId="1536" xr:uid="{00000000-0005-0000-0000-0000C0030000}"/>
    <cellStyle name="Normal 6 2 2 2 3" xfId="547" xr:uid="{00000000-0005-0000-0000-0000C1030000}"/>
    <cellStyle name="Normal 6 2 2 2 3 2" xfId="688" xr:uid="{00000000-0005-0000-0000-0000C2030000}"/>
    <cellStyle name="Normal 6 2 2 2 3 2 2" xfId="1153" xr:uid="{00000000-0005-0000-0000-0000C3030000}"/>
    <cellStyle name="Normal 6 2 2 2 3 2 2 2" xfId="1542" xr:uid="{00000000-0005-0000-0000-0000C4030000}"/>
    <cellStyle name="Normal 6 2 2 2 3 2 3" xfId="1541" xr:uid="{00000000-0005-0000-0000-0000C5030000}"/>
    <cellStyle name="Normal 6 2 2 2 3 3" xfId="841" xr:uid="{00000000-0005-0000-0000-0000C6030000}"/>
    <cellStyle name="Normal 6 2 2 2 3 3 2" xfId="1543" xr:uid="{00000000-0005-0000-0000-0000C7030000}"/>
    <cellStyle name="Normal 6 2 2 2 3 4" xfId="1540" xr:uid="{00000000-0005-0000-0000-0000C8030000}"/>
    <cellStyle name="Normal 6 2 2 2 4" xfId="381" xr:uid="{00000000-0005-0000-0000-0000C9030000}"/>
    <cellStyle name="Normal 6 2 2 2 4 2" xfId="951" xr:uid="{00000000-0005-0000-0000-0000CA030000}"/>
    <cellStyle name="Normal 6 2 2 2 4 2 2" xfId="1545" xr:uid="{00000000-0005-0000-0000-0000CB030000}"/>
    <cellStyle name="Normal 6 2 2 2 4 3" xfId="1544" xr:uid="{00000000-0005-0000-0000-0000CC030000}"/>
    <cellStyle name="Normal 6 2 2 2 5" xfId="598" xr:uid="{00000000-0005-0000-0000-0000CD030000}"/>
    <cellStyle name="Normal 6 2 2 2 5 2" xfId="1064" xr:uid="{00000000-0005-0000-0000-0000CE030000}"/>
    <cellStyle name="Normal 6 2 2 2 5 2 2" xfId="1547" xr:uid="{00000000-0005-0000-0000-0000CF030000}"/>
    <cellStyle name="Normal 6 2 2 2 5 3" xfId="1546" xr:uid="{00000000-0005-0000-0000-0000D0030000}"/>
    <cellStyle name="Normal 6 2 2 2 6" xfId="265" xr:uid="{00000000-0005-0000-0000-0000D1030000}"/>
    <cellStyle name="Normal 6 2 2 2 6 2" xfId="893" xr:uid="{00000000-0005-0000-0000-0000D2030000}"/>
    <cellStyle name="Normal 6 2 2 2 6 2 2" xfId="1549" xr:uid="{00000000-0005-0000-0000-0000D3030000}"/>
    <cellStyle name="Normal 6 2 2 2 6 3" xfId="1548" xr:uid="{00000000-0005-0000-0000-0000D4030000}"/>
    <cellStyle name="Normal 6 2 2 2 7" xfId="747" xr:uid="{00000000-0005-0000-0000-0000D5030000}"/>
    <cellStyle name="Normal 6 2 2 2 7 2" xfId="1550" xr:uid="{00000000-0005-0000-0000-0000D6030000}"/>
    <cellStyle name="Normal 6 2 2 2 8" xfId="1214" xr:uid="{00000000-0005-0000-0000-0000D7030000}"/>
    <cellStyle name="Normal 6 2 2 3" xfId="129" xr:uid="{00000000-0005-0000-0000-0000D8030000}"/>
    <cellStyle name="Normal 6 2 2 3 2" xfId="485" xr:uid="{00000000-0005-0000-0000-0000D9030000}"/>
    <cellStyle name="Normal 6 2 2 3 2 2" xfId="646" xr:uid="{00000000-0005-0000-0000-0000DA030000}"/>
    <cellStyle name="Normal 6 2 2 3 2 2 2" xfId="1112" xr:uid="{00000000-0005-0000-0000-0000DB030000}"/>
    <cellStyle name="Normal 6 2 2 3 2 2 2 2" xfId="1553" xr:uid="{00000000-0005-0000-0000-0000DC030000}"/>
    <cellStyle name="Normal 6 2 2 3 2 2 3" xfId="1552" xr:uid="{00000000-0005-0000-0000-0000DD030000}"/>
    <cellStyle name="Normal 6 2 2 3 2 3" xfId="799" xr:uid="{00000000-0005-0000-0000-0000DE030000}"/>
    <cellStyle name="Normal 6 2 2 3 2 3 2" xfId="1554" xr:uid="{00000000-0005-0000-0000-0000DF030000}"/>
    <cellStyle name="Normal 6 2 2 3 2 4" xfId="1551" xr:uid="{00000000-0005-0000-0000-0000E0030000}"/>
    <cellStyle name="Normal 6 2 2 3 3" xfId="548" xr:uid="{00000000-0005-0000-0000-0000E1030000}"/>
    <cellStyle name="Normal 6 2 2 3 3 2" xfId="689" xr:uid="{00000000-0005-0000-0000-0000E2030000}"/>
    <cellStyle name="Normal 6 2 2 3 3 2 2" xfId="1154" xr:uid="{00000000-0005-0000-0000-0000E3030000}"/>
    <cellStyle name="Normal 6 2 2 3 3 2 2 2" xfId="1557" xr:uid="{00000000-0005-0000-0000-0000E4030000}"/>
    <cellStyle name="Normal 6 2 2 3 3 2 3" xfId="1556" xr:uid="{00000000-0005-0000-0000-0000E5030000}"/>
    <cellStyle name="Normal 6 2 2 3 3 3" xfId="842" xr:uid="{00000000-0005-0000-0000-0000E6030000}"/>
    <cellStyle name="Normal 6 2 2 3 3 3 2" xfId="1558" xr:uid="{00000000-0005-0000-0000-0000E7030000}"/>
    <cellStyle name="Normal 6 2 2 3 3 4" xfId="1555" xr:uid="{00000000-0005-0000-0000-0000E8030000}"/>
    <cellStyle name="Normal 6 2 2 3 4" xfId="382" xr:uid="{00000000-0005-0000-0000-0000E9030000}"/>
    <cellStyle name="Normal 6 2 2 3 4 2" xfId="952" xr:uid="{00000000-0005-0000-0000-0000EA030000}"/>
    <cellStyle name="Normal 6 2 2 3 4 2 2" xfId="1560" xr:uid="{00000000-0005-0000-0000-0000EB030000}"/>
    <cellStyle name="Normal 6 2 2 3 4 3" xfId="1559" xr:uid="{00000000-0005-0000-0000-0000EC030000}"/>
    <cellStyle name="Normal 6 2 2 3 5" xfId="599" xr:uid="{00000000-0005-0000-0000-0000ED030000}"/>
    <cellStyle name="Normal 6 2 2 3 5 2" xfId="1065" xr:uid="{00000000-0005-0000-0000-0000EE030000}"/>
    <cellStyle name="Normal 6 2 2 3 5 2 2" xfId="1562" xr:uid="{00000000-0005-0000-0000-0000EF030000}"/>
    <cellStyle name="Normal 6 2 2 3 5 3" xfId="1561" xr:uid="{00000000-0005-0000-0000-0000F0030000}"/>
    <cellStyle name="Normal 6 2 2 3 6" xfId="266" xr:uid="{00000000-0005-0000-0000-0000F1030000}"/>
    <cellStyle name="Normal 6 2 2 3 6 2" xfId="894" xr:uid="{00000000-0005-0000-0000-0000F2030000}"/>
    <cellStyle name="Normal 6 2 2 3 6 2 2" xfId="1564" xr:uid="{00000000-0005-0000-0000-0000F3030000}"/>
    <cellStyle name="Normal 6 2 2 3 6 3" xfId="1563" xr:uid="{00000000-0005-0000-0000-0000F4030000}"/>
    <cellStyle name="Normal 6 2 2 3 7" xfId="748" xr:uid="{00000000-0005-0000-0000-0000F5030000}"/>
    <cellStyle name="Normal 6 2 2 3 7 2" xfId="1565" xr:uid="{00000000-0005-0000-0000-0000F6030000}"/>
    <cellStyle name="Normal 6 2 2 3 8" xfId="1215" xr:uid="{00000000-0005-0000-0000-0000F7030000}"/>
    <cellStyle name="Normal 6 2 2 4" xfId="483" xr:uid="{00000000-0005-0000-0000-0000F8030000}"/>
    <cellStyle name="Normal 6 2 2 4 2" xfId="644" xr:uid="{00000000-0005-0000-0000-0000F9030000}"/>
    <cellStyle name="Normal 6 2 2 4 2 2" xfId="1110" xr:uid="{00000000-0005-0000-0000-0000FA030000}"/>
    <cellStyle name="Normal 6 2 2 4 2 2 2" xfId="1568" xr:uid="{00000000-0005-0000-0000-0000FB030000}"/>
    <cellStyle name="Normal 6 2 2 4 2 3" xfId="1567" xr:uid="{00000000-0005-0000-0000-0000FC030000}"/>
    <cellStyle name="Normal 6 2 2 4 3" xfId="797" xr:uid="{00000000-0005-0000-0000-0000FD030000}"/>
    <cellStyle name="Normal 6 2 2 4 3 2" xfId="1569" xr:uid="{00000000-0005-0000-0000-0000FE030000}"/>
    <cellStyle name="Normal 6 2 2 4 4" xfId="1566" xr:uid="{00000000-0005-0000-0000-0000FF030000}"/>
    <cellStyle name="Normal 6 2 2 5" xfId="546" xr:uid="{00000000-0005-0000-0000-000000040000}"/>
    <cellStyle name="Normal 6 2 2 5 2" xfId="687" xr:uid="{00000000-0005-0000-0000-000001040000}"/>
    <cellStyle name="Normal 6 2 2 5 2 2" xfId="1152" xr:uid="{00000000-0005-0000-0000-000002040000}"/>
    <cellStyle name="Normal 6 2 2 5 2 2 2" xfId="1572" xr:uid="{00000000-0005-0000-0000-000003040000}"/>
    <cellStyle name="Normal 6 2 2 5 2 3" xfId="1571" xr:uid="{00000000-0005-0000-0000-000004040000}"/>
    <cellStyle name="Normal 6 2 2 5 3" xfId="840" xr:uid="{00000000-0005-0000-0000-000005040000}"/>
    <cellStyle name="Normal 6 2 2 5 3 2" xfId="1573" xr:uid="{00000000-0005-0000-0000-000006040000}"/>
    <cellStyle name="Normal 6 2 2 5 4" xfId="1570" xr:uid="{00000000-0005-0000-0000-000007040000}"/>
    <cellStyle name="Normal 6 2 2 6" xfId="380" xr:uid="{00000000-0005-0000-0000-000008040000}"/>
    <cellStyle name="Normal 6 2 2 6 2" xfId="950" xr:uid="{00000000-0005-0000-0000-000009040000}"/>
    <cellStyle name="Normal 6 2 2 6 2 2" xfId="1575" xr:uid="{00000000-0005-0000-0000-00000A040000}"/>
    <cellStyle name="Normal 6 2 2 6 3" xfId="1574" xr:uid="{00000000-0005-0000-0000-00000B040000}"/>
    <cellStyle name="Normal 6 2 2 7" xfId="597" xr:uid="{00000000-0005-0000-0000-00000C040000}"/>
    <cellStyle name="Normal 6 2 2 7 2" xfId="1063" xr:uid="{00000000-0005-0000-0000-00000D040000}"/>
    <cellStyle name="Normal 6 2 2 7 2 2" xfId="1577" xr:uid="{00000000-0005-0000-0000-00000E040000}"/>
    <cellStyle name="Normal 6 2 2 7 3" xfId="1576" xr:uid="{00000000-0005-0000-0000-00000F040000}"/>
    <cellStyle name="Normal 6 2 2 8" xfId="264" xr:uid="{00000000-0005-0000-0000-000010040000}"/>
    <cellStyle name="Normal 6 2 2 8 2" xfId="892" xr:uid="{00000000-0005-0000-0000-000011040000}"/>
    <cellStyle name="Normal 6 2 2 8 2 2" xfId="1579" xr:uid="{00000000-0005-0000-0000-000012040000}"/>
    <cellStyle name="Normal 6 2 2 8 3" xfId="1578" xr:uid="{00000000-0005-0000-0000-000013040000}"/>
    <cellStyle name="Normal 6 2 2 9" xfId="746" xr:uid="{00000000-0005-0000-0000-000014040000}"/>
    <cellStyle name="Normal 6 2 2 9 2" xfId="1580" xr:uid="{00000000-0005-0000-0000-000015040000}"/>
    <cellStyle name="Normal 6 2 3" xfId="130" xr:uid="{00000000-0005-0000-0000-000016040000}"/>
    <cellStyle name="Normal 6 2 3 2" xfId="486" xr:uid="{00000000-0005-0000-0000-000017040000}"/>
    <cellStyle name="Normal 6 2 3 2 2" xfId="647" xr:uid="{00000000-0005-0000-0000-000018040000}"/>
    <cellStyle name="Normal 6 2 3 2 2 2" xfId="1113" xr:uid="{00000000-0005-0000-0000-000019040000}"/>
    <cellStyle name="Normal 6 2 3 2 2 2 2" xfId="1583" xr:uid="{00000000-0005-0000-0000-00001A040000}"/>
    <cellStyle name="Normal 6 2 3 2 2 3" xfId="1582" xr:uid="{00000000-0005-0000-0000-00001B040000}"/>
    <cellStyle name="Normal 6 2 3 2 3" xfId="800" xr:uid="{00000000-0005-0000-0000-00001C040000}"/>
    <cellStyle name="Normal 6 2 3 2 3 2" xfId="1584" xr:uid="{00000000-0005-0000-0000-00001D040000}"/>
    <cellStyle name="Normal 6 2 3 2 4" xfId="1581" xr:uid="{00000000-0005-0000-0000-00001E040000}"/>
    <cellStyle name="Normal 6 2 3 3" xfId="549" xr:uid="{00000000-0005-0000-0000-00001F040000}"/>
    <cellStyle name="Normal 6 2 3 3 2" xfId="690" xr:uid="{00000000-0005-0000-0000-000020040000}"/>
    <cellStyle name="Normal 6 2 3 3 2 2" xfId="1155" xr:uid="{00000000-0005-0000-0000-000021040000}"/>
    <cellStyle name="Normal 6 2 3 3 2 2 2" xfId="1587" xr:uid="{00000000-0005-0000-0000-000022040000}"/>
    <cellStyle name="Normal 6 2 3 3 2 3" xfId="1586" xr:uid="{00000000-0005-0000-0000-000023040000}"/>
    <cellStyle name="Normal 6 2 3 3 3" xfId="843" xr:uid="{00000000-0005-0000-0000-000024040000}"/>
    <cellStyle name="Normal 6 2 3 3 3 2" xfId="1588" xr:uid="{00000000-0005-0000-0000-000025040000}"/>
    <cellStyle name="Normal 6 2 3 3 4" xfId="1585" xr:uid="{00000000-0005-0000-0000-000026040000}"/>
    <cellStyle name="Normal 6 2 3 4" xfId="383" xr:uid="{00000000-0005-0000-0000-000027040000}"/>
    <cellStyle name="Normal 6 2 3 4 2" xfId="953" xr:uid="{00000000-0005-0000-0000-000028040000}"/>
    <cellStyle name="Normal 6 2 3 4 2 2" xfId="1590" xr:uid="{00000000-0005-0000-0000-000029040000}"/>
    <cellStyle name="Normal 6 2 3 4 3" xfId="1589" xr:uid="{00000000-0005-0000-0000-00002A040000}"/>
    <cellStyle name="Normal 6 2 3 5" xfId="600" xr:uid="{00000000-0005-0000-0000-00002B040000}"/>
    <cellStyle name="Normal 6 2 3 5 2" xfId="1066" xr:uid="{00000000-0005-0000-0000-00002C040000}"/>
    <cellStyle name="Normal 6 2 3 5 2 2" xfId="1592" xr:uid="{00000000-0005-0000-0000-00002D040000}"/>
    <cellStyle name="Normal 6 2 3 5 3" xfId="1591" xr:uid="{00000000-0005-0000-0000-00002E040000}"/>
    <cellStyle name="Normal 6 2 3 6" xfId="267" xr:uid="{00000000-0005-0000-0000-00002F040000}"/>
    <cellStyle name="Normal 6 2 3 6 2" xfId="895" xr:uid="{00000000-0005-0000-0000-000030040000}"/>
    <cellStyle name="Normal 6 2 3 6 2 2" xfId="1594" xr:uid="{00000000-0005-0000-0000-000031040000}"/>
    <cellStyle name="Normal 6 2 3 6 3" xfId="1593" xr:uid="{00000000-0005-0000-0000-000032040000}"/>
    <cellStyle name="Normal 6 2 3 7" xfId="749" xr:uid="{00000000-0005-0000-0000-000033040000}"/>
    <cellStyle name="Normal 6 2 3 7 2" xfId="1595" xr:uid="{00000000-0005-0000-0000-000034040000}"/>
    <cellStyle name="Normal 6 2 3 8" xfId="1216" xr:uid="{00000000-0005-0000-0000-000035040000}"/>
    <cellStyle name="Normal 6 2 4" xfId="131" xr:uid="{00000000-0005-0000-0000-000036040000}"/>
    <cellStyle name="Normal 6 2 4 2" xfId="487" xr:uid="{00000000-0005-0000-0000-000037040000}"/>
    <cellStyle name="Normal 6 2 4 2 2" xfId="648" xr:uid="{00000000-0005-0000-0000-000038040000}"/>
    <cellStyle name="Normal 6 2 4 2 2 2" xfId="1114" xr:uid="{00000000-0005-0000-0000-000039040000}"/>
    <cellStyle name="Normal 6 2 4 2 2 2 2" xfId="1598" xr:uid="{00000000-0005-0000-0000-00003A040000}"/>
    <cellStyle name="Normal 6 2 4 2 2 3" xfId="1597" xr:uid="{00000000-0005-0000-0000-00003B040000}"/>
    <cellStyle name="Normal 6 2 4 2 3" xfId="801" xr:uid="{00000000-0005-0000-0000-00003C040000}"/>
    <cellStyle name="Normal 6 2 4 2 3 2" xfId="1599" xr:uid="{00000000-0005-0000-0000-00003D040000}"/>
    <cellStyle name="Normal 6 2 4 2 4" xfId="1596" xr:uid="{00000000-0005-0000-0000-00003E040000}"/>
    <cellStyle name="Normal 6 2 4 3" xfId="550" xr:uid="{00000000-0005-0000-0000-00003F040000}"/>
    <cellStyle name="Normal 6 2 4 3 2" xfId="691" xr:uid="{00000000-0005-0000-0000-000040040000}"/>
    <cellStyle name="Normal 6 2 4 3 2 2" xfId="1156" xr:uid="{00000000-0005-0000-0000-000041040000}"/>
    <cellStyle name="Normal 6 2 4 3 2 2 2" xfId="1602" xr:uid="{00000000-0005-0000-0000-000042040000}"/>
    <cellStyle name="Normal 6 2 4 3 2 3" xfId="1601" xr:uid="{00000000-0005-0000-0000-000043040000}"/>
    <cellStyle name="Normal 6 2 4 3 3" xfId="844" xr:uid="{00000000-0005-0000-0000-000044040000}"/>
    <cellStyle name="Normal 6 2 4 3 3 2" xfId="1603" xr:uid="{00000000-0005-0000-0000-000045040000}"/>
    <cellStyle name="Normal 6 2 4 3 4" xfId="1600" xr:uid="{00000000-0005-0000-0000-000046040000}"/>
    <cellStyle name="Normal 6 2 4 4" xfId="384" xr:uid="{00000000-0005-0000-0000-000047040000}"/>
    <cellStyle name="Normal 6 2 4 4 2" xfId="954" xr:uid="{00000000-0005-0000-0000-000048040000}"/>
    <cellStyle name="Normal 6 2 4 4 2 2" xfId="1605" xr:uid="{00000000-0005-0000-0000-000049040000}"/>
    <cellStyle name="Normal 6 2 4 4 3" xfId="1604" xr:uid="{00000000-0005-0000-0000-00004A040000}"/>
    <cellStyle name="Normal 6 2 4 5" xfId="601" xr:uid="{00000000-0005-0000-0000-00004B040000}"/>
    <cellStyle name="Normal 6 2 4 5 2" xfId="1067" xr:uid="{00000000-0005-0000-0000-00004C040000}"/>
    <cellStyle name="Normal 6 2 4 5 2 2" xfId="1607" xr:uid="{00000000-0005-0000-0000-00004D040000}"/>
    <cellStyle name="Normal 6 2 4 5 3" xfId="1606" xr:uid="{00000000-0005-0000-0000-00004E040000}"/>
    <cellStyle name="Normal 6 2 4 6" xfId="268" xr:uid="{00000000-0005-0000-0000-00004F040000}"/>
    <cellStyle name="Normal 6 2 4 6 2" xfId="896" xr:uid="{00000000-0005-0000-0000-000050040000}"/>
    <cellStyle name="Normal 6 2 4 6 2 2" xfId="1609" xr:uid="{00000000-0005-0000-0000-000051040000}"/>
    <cellStyle name="Normal 6 2 4 6 3" xfId="1608" xr:uid="{00000000-0005-0000-0000-000052040000}"/>
    <cellStyle name="Normal 6 2 4 7" xfId="750" xr:uid="{00000000-0005-0000-0000-000053040000}"/>
    <cellStyle name="Normal 6 2 4 7 2" xfId="1610" xr:uid="{00000000-0005-0000-0000-000054040000}"/>
    <cellStyle name="Normal 6 2 4 8" xfId="1217" xr:uid="{00000000-0005-0000-0000-000055040000}"/>
    <cellStyle name="Normal 6 2 5" xfId="482" xr:uid="{00000000-0005-0000-0000-000056040000}"/>
    <cellStyle name="Normal 6 2 5 2" xfId="643" xr:uid="{00000000-0005-0000-0000-000057040000}"/>
    <cellStyle name="Normal 6 2 5 2 2" xfId="1109" xr:uid="{00000000-0005-0000-0000-000058040000}"/>
    <cellStyle name="Normal 6 2 5 2 2 2" xfId="1613" xr:uid="{00000000-0005-0000-0000-000059040000}"/>
    <cellStyle name="Normal 6 2 5 2 3" xfId="1612" xr:uid="{00000000-0005-0000-0000-00005A040000}"/>
    <cellStyle name="Normal 6 2 5 3" xfId="796" xr:uid="{00000000-0005-0000-0000-00005B040000}"/>
    <cellStyle name="Normal 6 2 5 3 2" xfId="1614" xr:uid="{00000000-0005-0000-0000-00005C040000}"/>
    <cellStyle name="Normal 6 2 5 4" xfId="1611" xr:uid="{00000000-0005-0000-0000-00005D040000}"/>
    <cellStyle name="Normal 6 2 6" xfId="545" xr:uid="{00000000-0005-0000-0000-00005E040000}"/>
    <cellStyle name="Normal 6 2 6 2" xfId="686" xr:uid="{00000000-0005-0000-0000-00005F040000}"/>
    <cellStyle name="Normal 6 2 6 2 2" xfId="1151" xr:uid="{00000000-0005-0000-0000-000060040000}"/>
    <cellStyle name="Normal 6 2 6 2 2 2" xfId="1617" xr:uid="{00000000-0005-0000-0000-000061040000}"/>
    <cellStyle name="Normal 6 2 6 2 3" xfId="1616" xr:uid="{00000000-0005-0000-0000-000062040000}"/>
    <cellStyle name="Normal 6 2 6 3" xfId="839" xr:uid="{00000000-0005-0000-0000-000063040000}"/>
    <cellStyle name="Normal 6 2 6 3 2" xfId="1618" xr:uid="{00000000-0005-0000-0000-000064040000}"/>
    <cellStyle name="Normal 6 2 6 4" xfId="1615" xr:uid="{00000000-0005-0000-0000-000065040000}"/>
    <cellStyle name="Normal 6 2 7" xfId="379" xr:uid="{00000000-0005-0000-0000-000066040000}"/>
    <cellStyle name="Normal 6 2 7 2" xfId="949" xr:uid="{00000000-0005-0000-0000-000067040000}"/>
    <cellStyle name="Normal 6 2 7 2 2" xfId="1620" xr:uid="{00000000-0005-0000-0000-000068040000}"/>
    <cellStyle name="Normal 6 2 7 3" xfId="1619" xr:uid="{00000000-0005-0000-0000-000069040000}"/>
    <cellStyle name="Normal 6 2 8" xfId="596" xr:uid="{00000000-0005-0000-0000-00006A040000}"/>
    <cellStyle name="Normal 6 2 8 2" xfId="1062" xr:uid="{00000000-0005-0000-0000-00006B040000}"/>
    <cellStyle name="Normal 6 2 8 2 2" xfId="1622" xr:uid="{00000000-0005-0000-0000-00006C040000}"/>
    <cellStyle name="Normal 6 2 8 3" xfId="1621" xr:uid="{00000000-0005-0000-0000-00006D040000}"/>
    <cellStyle name="Normal 6 2 9" xfId="263" xr:uid="{00000000-0005-0000-0000-00006E040000}"/>
    <cellStyle name="Normal 6 2 9 2" xfId="891" xr:uid="{00000000-0005-0000-0000-00006F040000}"/>
    <cellStyle name="Normal 6 2 9 2 2" xfId="1624" xr:uid="{00000000-0005-0000-0000-000070040000}"/>
    <cellStyle name="Normal 6 2 9 3" xfId="1623" xr:uid="{00000000-0005-0000-0000-000071040000}"/>
    <cellStyle name="Normal 6 3" xfId="132" xr:uid="{00000000-0005-0000-0000-000072040000}"/>
    <cellStyle name="Normal 6 3 10" xfId="1218" xr:uid="{00000000-0005-0000-0000-000073040000}"/>
    <cellStyle name="Normal 6 3 2" xfId="133" xr:uid="{00000000-0005-0000-0000-000074040000}"/>
    <cellStyle name="Normal 6 3 2 2" xfId="489" xr:uid="{00000000-0005-0000-0000-000075040000}"/>
    <cellStyle name="Normal 6 3 2 2 2" xfId="650" xr:uid="{00000000-0005-0000-0000-000076040000}"/>
    <cellStyle name="Normal 6 3 2 2 2 2" xfId="1116" xr:uid="{00000000-0005-0000-0000-000077040000}"/>
    <cellStyle name="Normal 6 3 2 2 2 2 2" xfId="1627" xr:uid="{00000000-0005-0000-0000-000078040000}"/>
    <cellStyle name="Normal 6 3 2 2 2 3" xfId="1626" xr:uid="{00000000-0005-0000-0000-000079040000}"/>
    <cellStyle name="Normal 6 3 2 2 3" xfId="803" xr:uid="{00000000-0005-0000-0000-00007A040000}"/>
    <cellStyle name="Normal 6 3 2 2 3 2" xfId="1628" xr:uid="{00000000-0005-0000-0000-00007B040000}"/>
    <cellStyle name="Normal 6 3 2 2 4" xfId="1625" xr:uid="{00000000-0005-0000-0000-00007C040000}"/>
    <cellStyle name="Normal 6 3 2 3" xfId="552" xr:uid="{00000000-0005-0000-0000-00007D040000}"/>
    <cellStyle name="Normal 6 3 2 3 2" xfId="693" xr:uid="{00000000-0005-0000-0000-00007E040000}"/>
    <cellStyle name="Normal 6 3 2 3 2 2" xfId="1158" xr:uid="{00000000-0005-0000-0000-00007F040000}"/>
    <cellStyle name="Normal 6 3 2 3 2 2 2" xfId="1631" xr:uid="{00000000-0005-0000-0000-000080040000}"/>
    <cellStyle name="Normal 6 3 2 3 2 3" xfId="1630" xr:uid="{00000000-0005-0000-0000-000081040000}"/>
    <cellStyle name="Normal 6 3 2 3 3" xfId="846" xr:uid="{00000000-0005-0000-0000-000082040000}"/>
    <cellStyle name="Normal 6 3 2 3 3 2" xfId="1632" xr:uid="{00000000-0005-0000-0000-000083040000}"/>
    <cellStyle name="Normal 6 3 2 3 4" xfId="1629" xr:uid="{00000000-0005-0000-0000-000084040000}"/>
    <cellStyle name="Normal 6 3 2 4" xfId="386" xr:uid="{00000000-0005-0000-0000-000085040000}"/>
    <cellStyle name="Normal 6 3 2 4 2" xfId="956" xr:uid="{00000000-0005-0000-0000-000086040000}"/>
    <cellStyle name="Normal 6 3 2 4 2 2" xfId="1634" xr:uid="{00000000-0005-0000-0000-000087040000}"/>
    <cellStyle name="Normal 6 3 2 4 3" xfId="1633" xr:uid="{00000000-0005-0000-0000-000088040000}"/>
    <cellStyle name="Normal 6 3 2 5" xfId="603" xr:uid="{00000000-0005-0000-0000-000089040000}"/>
    <cellStyle name="Normal 6 3 2 5 2" xfId="1069" xr:uid="{00000000-0005-0000-0000-00008A040000}"/>
    <cellStyle name="Normal 6 3 2 5 2 2" xfId="1636" xr:uid="{00000000-0005-0000-0000-00008B040000}"/>
    <cellStyle name="Normal 6 3 2 5 3" xfId="1635" xr:uid="{00000000-0005-0000-0000-00008C040000}"/>
    <cellStyle name="Normal 6 3 2 6" xfId="270" xr:uid="{00000000-0005-0000-0000-00008D040000}"/>
    <cellStyle name="Normal 6 3 2 6 2" xfId="898" xr:uid="{00000000-0005-0000-0000-00008E040000}"/>
    <cellStyle name="Normal 6 3 2 6 2 2" xfId="1638" xr:uid="{00000000-0005-0000-0000-00008F040000}"/>
    <cellStyle name="Normal 6 3 2 6 3" xfId="1637" xr:uid="{00000000-0005-0000-0000-000090040000}"/>
    <cellStyle name="Normal 6 3 2 7" xfId="752" xr:uid="{00000000-0005-0000-0000-000091040000}"/>
    <cellStyle name="Normal 6 3 2 7 2" xfId="1639" xr:uid="{00000000-0005-0000-0000-000092040000}"/>
    <cellStyle name="Normal 6 3 2 8" xfId="1219" xr:uid="{00000000-0005-0000-0000-000093040000}"/>
    <cellStyle name="Normal 6 3 3" xfId="134" xr:uid="{00000000-0005-0000-0000-000094040000}"/>
    <cellStyle name="Normal 6 3 3 2" xfId="490" xr:uid="{00000000-0005-0000-0000-000095040000}"/>
    <cellStyle name="Normal 6 3 3 2 2" xfId="651" xr:uid="{00000000-0005-0000-0000-000096040000}"/>
    <cellStyle name="Normal 6 3 3 2 2 2" xfId="1117" xr:uid="{00000000-0005-0000-0000-000097040000}"/>
    <cellStyle name="Normal 6 3 3 2 2 2 2" xfId="1642" xr:uid="{00000000-0005-0000-0000-000098040000}"/>
    <cellStyle name="Normal 6 3 3 2 2 3" xfId="1641" xr:uid="{00000000-0005-0000-0000-000099040000}"/>
    <cellStyle name="Normal 6 3 3 2 3" xfId="804" xr:uid="{00000000-0005-0000-0000-00009A040000}"/>
    <cellStyle name="Normal 6 3 3 2 3 2" xfId="1643" xr:uid="{00000000-0005-0000-0000-00009B040000}"/>
    <cellStyle name="Normal 6 3 3 2 4" xfId="1640" xr:uid="{00000000-0005-0000-0000-00009C040000}"/>
    <cellStyle name="Normal 6 3 3 3" xfId="553" xr:uid="{00000000-0005-0000-0000-00009D040000}"/>
    <cellStyle name="Normal 6 3 3 3 2" xfId="694" xr:uid="{00000000-0005-0000-0000-00009E040000}"/>
    <cellStyle name="Normal 6 3 3 3 2 2" xfId="1159" xr:uid="{00000000-0005-0000-0000-00009F040000}"/>
    <cellStyle name="Normal 6 3 3 3 2 2 2" xfId="1646" xr:uid="{00000000-0005-0000-0000-0000A0040000}"/>
    <cellStyle name="Normal 6 3 3 3 2 3" xfId="1645" xr:uid="{00000000-0005-0000-0000-0000A1040000}"/>
    <cellStyle name="Normal 6 3 3 3 3" xfId="847" xr:uid="{00000000-0005-0000-0000-0000A2040000}"/>
    <cellStyle name="Normal 6 3 3 3 3 2" xfId="1647" xr:uid="{00000000-0005-0000-0000-0000A3040000}"/>
    <cellStyle name="Normal 6 3 3 3 4" xfId="1644" xr:uid="{00000000-0005-0000-0000-0000A4040000}"/>
    <cellStyle name="Normal 6 3 3 4" xfId="387" xr:uid="{00000000-0005-0000-0000-0000A5040000}"/>
    <cellStyle name="Normal 6 3 3 4 2" xfId="957" xr:uid="{00000000-0005-0000-0000-0000A6040000}"/>
    <cellStyle name="Normal 6 3 3 4 2 2" xfId="1649" xr:uid="{00000000-0005-0000-0000-0000A7040000}"/>
    <cellStyle name="Normal 6 3 3 4 3" xfId="1648" xr:uid="{00000000-0005-0000-0000-0000A8040000}"/>
    <cellStyle name="Normal 6 3 3 5" xfId="604" xr:uid="{00000000-0005-0000-0000-0000A9040000}"/>
    <cellStyle name="Normal 6 3 3 5 2" xfId="1070" xr:uid="{00000000-0005-0000-0000-0000AA040000}"/>
    <cellStyle name="Normal 6 3 3 5 2 2" xfId="1651" xr:uid="{00000000-0005-0000-0000-0000AB040000}"/>
    <cellStyle name="Normal 6 3 3 5 3" xfId="1650" xr:uid="{00000000-0005-0000-0000-0000AC040000}"/>
    <cellStyle name="Normal 6 3 3 6" xfId="271" xr:uid="{00000000-0005-0000-0000-0000AD040000}"/>
    <cellStyle name="Normal 6 3 3 6 2" xfId="899" xr:uid="{00000000-0005-0000-0000-0000AE040000}"/>
    <cellStyle name="Normal 6 3 3 6 2 2" xfId="1653" xr:uid="{00000000-0005-0000-0000-0000AF040000}"/>
    <cellStyle name="Normal 6 3 3 6 3" xfId="1652" xr:uid="{00000000-0005-0000-0000-0000B0040000}"/>
    <cellStyle name="Normal 6 3 3 7" xfId="753" xr:uid="{00000000-0005-0000-0000-0000B1040000}"/>
    <cellStyle name="Normal 6 3 3 7 2" xfId="1654" xr:uid="{00000000-0005-0000-0000-0000B2040000}"/>
    <cellStyle name="Normal 6 3 3 8" xfId="1220" xr:uid="{00000000-0005-0000-0000-0000B3040000}"/>
    <cellStyle name="Normal 6 3 4" xfId="488" xr:uid="{00000000-0005-0000-0000-0000B4040000}"/>
    <cellStyle name="Normal 6 3 4 2" xfId="649" xr:uid="{00000000-0005-0000-0000-0000B5040000}"/>
    <cellStyle name="Normal 6 3 4 2 2" xfId="1115" xr:uid="{00000000-0005-0000-0000-0000B6040000}"/>
    <cellStyle name="Normal 6 3 4 2 2 2" xfId="1657" xr:uid="{00000000-0005-0000-0000-0000B7040000}"/>
    <cellStyle name="Normal 6 3 4 2 3" xfId="1656" xr:uid="{00000000-0005-0000-0000-0000B8040000}"/>
    <cellStyle name="Normal 6 3 4 3" xfId="802" xr:uid="{00000000-0005-0000-0000-0000B9040000}"/>
    <cellStyle name="Normal 6 3 4 3 2" xfId="1658" xr:uid="{00000000-0005-0000-0000-0000BA040000}"/>
    <cellStyle name="Normal 6 3 4 4" xfId="1655" xr:uid="{00000000-0005-0000-0000-0000BB040000}"/>
    <cellStyle name="Normal 6 3 5" xfId="551" xr:uid="{00000000-0005-0000-0000-0000BC040000}"/>
    <cellStyle name="Normal 6 3 5 2" xfId="692" xr:uid="{00000000-0005-0000-0000-0000BD040000}"/>
    <cellStyle name="Normal 6 3 5 2 2" xfId="1157" xr:uid="{00000000-0005-0000-0000-0000BE040000}"/>
    <cellStyle name="Normal 6 3 5 2 2 2" xfId="1661" xr:uid="{00000000-0005-0000-0000-0000BF040000}"/>
    <cellStyle name="Normal 6 3 5 2 3" xfId="1660" xr:uid="{00000000-0005-0000-0000-0000C0040000}"/>
    <cellStyle name="Normal 6 3 5 3" xfId="845" xr:uid="{00000000-0005-0000-0000-0000C1040000}"/>
    <cellStyle name="Normal 6 3 5 3 2" xfId="1662" xr:uid="{00000000-0005-0000-0000-0000C2040000}"/>
    <cellStyle name="Normal 6 3 5 4" xfId="1659" xr:uid="{00000000-0005-0000-0000-0000C3040000}"/>
    <cellStyle name="Normal 6 3 6" xfId="385" xr:uid="{00000000-0005-0000-0000-0000C4040000}"/>
    <cellStyle name="Normal 6 3 6 2" xfId="955" xr:uid="{00000000-0005-0000-0000-0000C5040000}"/>
    <cellStyle name="Normal 6 3 6 2 2" xfId="1664" xr:uid="{00000000-0005-0000-0000-0000C6040000}"/>
    <cellStyle name="Normal 6 3 6 3" xfId="1663" xr:uid="{00000000-0005-0000-0000-0000C7040000}"/>
    <cellStyle name="Normal 6 3 7" xfId="602" xr:uid="{00000000-0005-0000-0000-0000C8040000}"/>
    <cellStyle name="Normal 6 3 7 2" xfId="1068" xr:uid="{00000000-0005-0000-0000-0000C9040000}"/>
    <cellStyle name="Normal 6 3 7 2 2" xfId="1666" xr:uid="{00000000-0005-0000-0000-0000CA040000}"/>
    <cellStyle name="Normal 6 3 7 3" xfId="1665" xr:uid="{00000000-0005-0000-0000-0000CB040000}"/>
    <cellStyle name="Normal 6 3 8" xfId="269" xr:uid="{00000000-0005-0000-0000-0000CC040000}"/>
    <cellStyle name="Normal 6 3 8 2" xfId="897" xr:uid="{00000000-0005-0000-0000-0000CD040000}"/>
    <cellStyle name="Normal 6 3 8 2 2" xfId="1668" xr:uid="{00000000-0005-0000-0000-0000CE040000}"/>
    <cellStyle name="Normal 6 3 8 3" xfId="1667" xr:uid="{00000000-0005-0000-0000-0000CF040000}"/>
    <cellStyle name="Normal 6 3 9" xfId="751" xr:uid="{00000000-0005-0000-0000-0000D0040000}"/>
    <cellStyle name="Normal 6 3 9 2" xfId="1669" xr:uid="{00000000-0005-0000-0000-0000D1040000}"/>
    <cellStyle name="Normal 6 4" xfId="135" xr:uid="{00000000-0005-0000-0000-0000D2040000}"/>
    <cellStyle name="Normal 6 4 2" xfId="491" xr:uid="{00000000-0005-0000-0000-0000D3040000}"/>
    <cellStyle name="Normal 6 4 2 2" xfId="652" xr:uid="{00000000-0005-0000-0000-0000D4040000}"/>
    <cellStyle name="Normal 6 4 2 2 2" xfId="1118" xr:uid="{00000000-0005-0000-0000-0000D5040000}"/>
    <cellStyle name="Normal 6 4 2 2 2 2" xfId="1672" xr:uid="{00000000-0005-0000-0000-0000D6040000}"/>
    <cellStyle name="Normal 6 4 2 2 3" xfId="1671" xr:uid="{00000000-0005-0000-0000-0000D7040000}"/>
    <cellStyle name="Normal 6 4 2 3" xfId="805" xr:uid="{00000000-0005-0000-0000-0000D8040000}"/>
    <cellStyle name="Normal 6 4 2 3 2" xfId="1673" xr:uid="{00000000-0005-0000-0000-0000D9040000}"/>
    <cellStyle name="Normal 6 4 2 4" xfId="1670" xr:uid="{00000000-0005-0000-0000-0000DA040000}"/>
    <cellStyle name="Normal 6 4 3" xfId="554" xr:uid="{00000000-0005-0000-0000-0000DB040000}"/>
    <cellStyle name="Normal 6 4 3 2" xfId="695" xr:uid="{00000000-0005-0000-0000-0000DC040000}"/>
    <cellStyle name="Normal 6 4 3 2 2" xfId="1160" xr:uid="{00000000-0005-0000-0000-0000DD040000}"/>
    <cellStyle name="Normal 6 4 3 2 2 2" xfId="1676" xr:uid="{00000000-0005-0000-0000-0000DE040000}"/>
    <cellStyle name="Normal 6 4 3 2 3" xfId="1675" xr:uid="{00000000-0005-0000-0000-0000DF040000}"/>
    <cellStyle name="Normal 6 4 3 3" xfId="848" xr:uid="{00000000-0005-0000-0000-0000E0040000}"/>
    <cellStyle name="Normal 6 4 3 3 2" xfId="1677" xr:uid="{00000000-0005-0000-0000-0000E1040000}"/>
    <cellStyle name="Normal 6 4 3 4" xfId="1674" xr:uid="{00000000-0005-0000-0000-0000E2040000}"/>
    <cellStyle name="Normal 6 4 4" xfId="388" xr:uid="{00000000-0005-0000-0000-0000E3040000}"/>
    <cellStyle name="Normal 6 4 4 2" xfId="958" xr:uid="{00000000-0005-0000-0000-0000E4040000}"/>
    <cellStyle name="Normal 6 4 4 2 2" xfId="1679" xr:uid="{00000000-0005-0000-0000-0000E5040000}"/>
    <cellStyle name="Normal 6 4 4 3" xfId="1678" xr:uid="{00000000-0005-0000-0000-0000E6040000}"/>
    <cellStyle name="Normal 6 4 5" xfId="605" xr:uid="{00000000-0005-0000-0000-0000E7040000}"/>
    <cellStyle name="Normal 6 4 5 2" xfId="1071" xr:uid="{00000000-0005-0000-0000-0000E8040000}"/>
    <cellStyle name="Normal 6 4 5 2 2" xfId="1681" xr:uid="{00000000-0005-0000-0000-0000E9040000}"/>
    <cellStyle name="Normal 6 4 5 3" xfId="1680" xr:uid="{00000000-0005-0000-0000-0000EA040000}"/>
    <cellStyle name="Normal 6 4 6" xfId="272" xr:uid="{00000000-0005-0000-0000-0000EB040000}"/>
    <cellStyle name="Normal 6 4 6 2" xfId="900" xr:uid="{00000000-0005-0000-0000-0000EC040000}"/>
    <cellStyle name="Normal 6 4 6 2 2" xfId="1683" xr:uid="{00000000-0005-0000-0000-0000ED040000}"/>
    <cellStyle name="Normal 6 4 6 3" xfId="1682" xr:uid="{00000000-0005-0000-0000-0000EE040000}"/>
    <cellStyle name="Normal 6 4 7" xfId="754" xr:uid="{00000000-0005-0000-0000-0000EF040000}"/>
    <cellStyle name="Normal 6 4 7 2" xfId="1684" xr:uid="{00000000-0005-0000-0000-0000F0040000}"/>
    <cellStyle name="Normal 6 4 8" xfId="1221" xr:uid="{00000000-0005-0000-0000-0000F1040000}"/>
    <cellStyle name="Normal 6 5" xfId="136" xr:uid="{00000000-0005-0000-0000-0000F2040000}"/>
    <cellStyle name="Normal 6 5 2" xfId="492" xr:uid="{00000000-0005-0000-0000-0000F3040000}"/>
    <cellStyle name="Normal 6 5 2 2" xfId="653" xr:uid="{00000000-0005-0000-0000-0000F4040000}"/>
    <cellStyle name="Normal 6 5 2 2 2" xfId="1119" xr:uid="{00000000-0005-0000-0000-0000F5040000}"/>
    <cellStyle name="Normal 6 5 2 2 2 2" xfId="1687" xr:uid="{00000000-0005-0000-0000-0000F6040000}"/>
    <cellStyle name="Normal 6 5 2 2 3" xfId="1686" xr:uid="{00000000-0005-0000-0000-0000F7040000}"/>
    <cellStyle name="Normal 6 5 2 3" xfId="806" xr:uid="{00000000-0005-0000-0000-0000F8040000}"/>
    <cellStyle name="Normal 6 5 2 3 2" xfId="1688" xr:uid="{00000000-0005-0000-0000-0000F9040000}"/>
    <cellStyle name="Normal 6 5 2 4" xfId="1685" xr:uid="{00000000-0005-0000-0000-0000FA040000}"/>
    <cellStyle name="Normal 6 5 3" xfId="555" xr:uid="{00000000-0005-0000-0000-0000FB040000}"/>
    <cellStyle name="Normal 6 5 3 2" xfId="696" xr:uid="{00000000-0005-0000-0000-0000FC040000}"/>
    <cellStyle name="Normal 6 5 3 2 2" xfId="1161" xr:uid="{00000000-0005-0000-0000-0000FD040000}"/>
    <cellStyle name="Normal 6 5 3 2 2 2" xfId="1691" xr:uid="{00000000-0005-0000-0000-0000FE040000}"/>
    <cellStyle name="Normal 6 5 3 2 3" xfId="1690" xr:uid="{00000000-0005-0000-0000-0000FF040000}"/>
    <cellStyle name="Normal 6 5 3 3" xfId="849" xr:uid="{00000000-0005-0000-0000-000000050000}"/>
    <cellStyle name="Normal 6 5 3 3 2" xfId="1692" xr:uid="{00000000-0005-0000-0000-000001050000}"/>
    <cellStyle name="Normal 6 5 3 4" xfId="1689" xr:uid="{00000000-0005-0000-0000-000002050000}"/>
    <cellStyle name="Normal 6 5 4" xfId="389" xr:uid="{00000000-0005-0000-0000-000003050000}"/>
    <cellStyle name="Normal 6 5 4 2" xfId="959" xr:uid="{00000000-0005-0000-0000-000004050000}"/>
    <cellStyle name="Normal 6 5 4 2 2" xfId="1694" xr:uid="{00000000-0005-0000-0000-000005050000}"/>
    <cellStyle name="Normal 6 5 4 3" xfId="1693" xr:uid="{00000000-0005-0000-0000-000006050000}"/>
    <cellStyle name="Normal 6 5 5" xfId="606" xr:uid="{00000000-0005-0000-0000-000007050000}"/>
    <cellStyle name="Normal 6 5 5 2" xfId="1072" xr:uid="{00000000-0005-0000-0000-000008050000}"/>
    <cellStyle name="Normal 6 5 5 2 2" xfId="1696" xr:uid="{00000000-0005-0000-0000-000009050000}"/>
    <cellStyle name="Normal 6 5 5 3" xfId="1695" xr:uid="{00000000-0005-0000-0000-00000A050000}"/>
    <cellStyle name="Normal 6 5 6" xfId="273" xr:uid="{00000000-0005-0000-0000-00000B050000}"/>
    <cellStyle name="Normal 6 5 6 2" xfId="901" xr:uid="{00000000-0005-0000-0000-00000C050000}"/>
    <cellStyle name="Normal 6 5 6 2 2" xfId="1698" xr:uid="{00000000-0005-0000-0000-00000D050000}"/>
    <cellStyle name="Normal 6 5 6 3" xfId="1697" xr:uid="{00000000-0005-0000-0000-00000E050000}"/>
    <cellStyle name="Normal 6 5 7" xfId="755" xr:uid="{00000000-0005-0000-0000-00000F050000}"/>
    <cellStyle name="Normal 6 5 7 2" xfId="1699" xr:uid="{00000000-0005-0000-0000-000010050000}"/>
    <cellStyle name="Normal 6 5 8" xfId="1222" xr:uid="{00000000-0005-0000-0000-000011050000}"/>
    <cellStyle name="Normal 6 6" xfId="481" xr:uid="{00000000-0005-0000-0000-000012050000}"/>
    <cellStyle name="Normal 6 6 2" xfId="642" xr:uid="{00000000-0005-0000-0000-000013050000}"/>
    <cellStyle name="Normal 6 6 2 2" xfId="1108" xr:uid="{00000000-0005-0000-0000-000014050000}"/>
    <cellStyle name="Normal 6 6 2 2 2" xfId="1702" xr:uid="{00000000-0005-0000-0000-000015050000}"/>
    <cellStyle name="Normal 6 6 2 3" xfId="1701" xr:uid="{00000000-0005-0000-0000-000016050000}"/>
    <cellStyle name="Normal 6 6 3" xfId="795" xr:uid="{00000000-0005-0000-0000-000017050000}"/>
    <cellStyle name="Normal 6 6 3 2" xfId="1703" xr:uid="{00000000-0005-0000-0000-000018050000}"/>
    <cellStyle name="Normal 6 6 4" xfId="1700" xr:uid="{00000000-0005-0000-0000-000019050000}"/>
    <cellStyle name="Normal 6 7" xfId="526" xr:uid="{00000000-0005-0000-0000-00001A050000}"/>
    <cellStyle name="Normal 6 7 2" xfId="668" xr:uid="{00000000-0005-0000-0000-00001B050000}"/>
    <cellStyle name="Normal 6 7 2 2" xfId="1133" xr:uid="{00000000-0005-0000-0000-00001C050000}"/>
    <cellStyle name="Normal 6 7 2 2 2" xfId="1706" xr:uid="{00000000-0005-0000-0000-00001D050000}"/>
    <cellStyle name="Normal 6 7 2 3" xfId="1705" xr:uid="{00000000-0005-0000-0000-00001E050000}"/>
    <cellStyle name="Normal 6 7 3" xfId="821" xr:uid="{00000000-0005-0000-0000-00001F050000}"/>
    <cellStyle name="Normal 6 7 3 2" xfId="1707" xr:uid="{00000000-0005-0000-0000-000020050000}"/>
    <cellStyle name="Normal 6 7 4" xfId="1704" xr:uid="{00000000-0005-0000-0000-000021050000}"/>
    <cellStyle name="Normal 6 8" xfId="307" xr:uid="{00000000-0005-0000-0000-000022050000}"/>
    <cellStyle name="Normal 6 8 2" xfId="930" xr:uid="{00000000-0005-0000-0000-000023050000}"/>
    <cellStyle name="Normal 6 8 2 2" xfId="1709" xr:uid="{00000000-0005-0000-0000-000024050000}"/>
    <cellStyle name="Normal 6 8 3" xfId="1708" xr:uid="{00000000-0005-0000-0000-000025050000}"/>
    <cellStyle name="Normal 6 9" xfId="577" xr:uid="{00000000-0005-0000-0000-000026050000}"/>
    <cellStyle name="Normal 6 9 2" xfId="1043" xr:uid="{00000000-0005-0000-0000-000027050000}"/>
    <cellStyle name="Normal 6 9 2 2" xfId="1711" xr:uid="{00000000-0005-0000-0000-000028050000}"/>
    <cellStyle name="Normal 6 9 3" xfId="1710" xr:uid="{00000000-0005-0000-0000-000029050000}"/>
    <cellStyle name="Normal 60" xfId="71" xr:uid="{00000000-0005-0000-0000-00002A050000}"/>
    <cellStyle name="Normal 60 2" xfId="493" xr:uid="{00000000-0005-0000-0000-00002B050000}"/>
    <cellStyle name="Normal 60 2 2" xfId="1022" xr:uid="{00000000-0005-0000-0000-00002C050000}"/>
    <cellStyle name="Normal 60 3" xfId="352" xr:uid="{00000000-0005-0000-0000-00002D050000}"/>
    <cellStyle name="Normal 60 4" xfId="236" xr:uid="{00000000-0005-0000-0000-00002E050000}"/>
    <cellStyle name="Normal 61" xfId="72" xr:uid="{00000000-0005-0000-0000-00002F050000}"/>
    <cellStyle name="Normal 61 2" xfId="494" xr:uid="{00000000-0005-0000-0000-000030050000}"/>
    <cellStyle name="Normal 61 2 2" xfId="1023" xr:uid="{00000000-0005-0000-0000-000031050000}"/>
    <cellStyle name="Normal 61 3" xfId="353" xr:uid="{00000000-0005-0000-0000-000032050000}"/>
    <cellStyle name="Normal 61 4" xfId="237" xr:uid="{00000000-0005-0000-0000-000033050000}"/>
    <cellStyle name="Normal 62" xfId="73" xr:uid="{00000000-0005-0000-0000-000034050000}"/>
    <cellStyle name="Normal 62 2" xfId="495" xr:uid="{00000000-0005-0000-0000-000035050000}"/>
    <cellStyle name="Normal 62 2 2" xfId="1024" xr:uid="{00000000-0005-0000-0000-000036050000}"/>
    <cellStyle name="Normal 62 3" xfId="354" xr:uid="{00000000-0005-0000-0000-000037050000}"/>
    <cellStyle name="Normal 62 4" xfId="238" xr:uid="{00000000-0005-0000-0000-000038050000}"/>
    <cellStyle name="Normal 63" xfId="75" xr:uid="{00000000-0005-0000-0000-000039050000}"/>
    <cellStyle name="Normal 63 2" xfId="496" xr:uid="{00000000-0005-0000-0000-00003A050000}"/>
    <cellStyle name="Normal 63 2 2" xfId="1025" xr:uid="{00000000-0005-0000-0000-00003B050000}"/>
    <cellStyle name="Normal 63 3" xfId="356" xr:uid="{00000000-0005-0000-0000-00003C050000}"/>
    <cellStyle name="Normal 63 4" xfId="240" xr:uid="{00000000-0005-0000-0000-00003D050000}"/>
    <cellStyle name="Normal 64" xfId="182" xr:uid="{00000000-0005-0000-0000-00003E050000}"/>
    <cellStyle name="Normal 64 2" xfId="183" xr:uid="{00000000-0005-0000-0000-00003F050000}"/>
    <cellStyle name="Normal 64 2 2" xfId="923" xr:uid="{00000000-0005-0000-0000-000040050000}"/>
    <cellStyle name="Normal 64 3" xfId="413" xr:uid="{00000000-0005-0000-0000-000041050000}"/>
    <cellStyle name="Normal 64 3 2" xfId="973" xr:uid="{00000000-0005-0000-0000-000042050000}"/>
    <cellStyle name="Normal 64 3 2 2" xfId="1713" xr:uid="{00000000-0005-0000-0000-000043050000}"/>
    <cellStyle name="Normal 64 3 3" xfId="1712" xr:uid="{00000000-0005-0000-0000-000044050000}"/>
    <cellStyle name="Normal 64 4" xfId="620" xr:uid="{00000000-0005-0000-0000-000045050000}"/>
    <cellStyle name="Normal 64 4 2" xfId="1086" xr:uid="{00000000-0005-0000-0000-000046050000}"/>
    <cellStyle name="Normal 64 4 2 2" xfId="1715" xr:uid="{00000000-0005-0000-0000-000047050000}"/>
    <cellStyle name="Normal 64 4 3" xfId="1714" xr:uid="{00000000-0005-0000-0000-000048050000}"/>
    <cellStyle name="Normal 64 5" xfId="297" xr:uid="{00000000-0005-0000-0000-000049050000}"/>
    <cellStyle name="Normal 64 5 2" xfId="922" xr:uid="{00000000-0005-0000-0000-00004A050000}"/>
    <cellStyle name="Normal 64 5 2 2" xfId="1717" xr:uid="{00000000-0005-0000-0000-00004B050000}"/>
    <cellStyle name="Normal 64 5 3" xfId="1716" xr:uid="{00000000-0005-0000-0000-00004C050000}"/>
    <cellStyle name="Normal 64 6" xfId="771" xr:uid="{00000000-0005-0000-0000-00004D050000}"/>
    <cellStyle name="Normal 64 6 2" xfId="1718" xr:uid="{00000000-0005-0000-0000-00004E050000}"/>
    <cellStyle name="Normal 64 7" xfId="1236" xr:uid="{00000000-0005-0000-0000-00004F050000}"/>
    <cellStyle name="Normal 65" xfId="184" xr:uid="{00000000-0005-0000-0000-000050050000}"/>
    <cellStyle name="Normal 65 2" xfId="571" xr:uid="{00000000-0005-0000-0000-000051050000}"/>
    <cellStyle name="Normal 65 2 2" xfId="712" xr:uid="{00000000-0005-0000-0000-000052050000}"/>
    <cellStyle name="Normal 65 2 2 2" xfId="1177" xr:uid="{00000000-0005-0000-0000-000053050000}"/>
    <cellStyle name="Normal 65 2 2 2 2" xfId="1721" xr:uid="{00000000-0005-0000-0000-000054050000}"/>
    <cellStyle name="Normal 65 2 2 3" xfId="1720" xr:uid="{00000000-0005-0000-0000-000055050000}"/>
    <cellStyle name="Normal 65 2 3" xfId="865" xr:uid="{00000000-0005-0000-0000-000056050000}"/>
    <cellStyle name="Normal 65 2 3 2" xfId="1722" xr:uid="{00000000-0005-0000-0000-000057050000}"/>
    <cellStyle name="Normal 65 2 4" xfId="1719" xr:uid="{00000000-0005-0000-0000-000058050000}"/>
    <cellStyle name="Normal 65 3" xfId="924" xr:uid="{00000000-0005-0000-0000-000059050000}"/>
    <cellStyle name="Normal 66" xfId="298" xr:uid="{00000000-0005-0000-0000-00005A050000}"/>
    <cellStyle name="Normal 66 2" xfId="523" xr:uid="{00000000-0005-0000-0000-00005B050000}"/>
    <cellStyle name="Normal 66 3" xfId="415" xr:uid="{00000000-0005-0000-0000-00005C050000}"/>
    <cellStyle name="Normal 66 3 2" xfId="975" xr:uid="{00000000-0005-0000-0000-00005D050000}"/>
    <cellStyle name="Normal 66 3 2 2" xfId="1724" xr:uid="{00000000-0005-0000-0000-00005E050000}"/>
    <cellStyle name="Normal 66 3 3" xfId="1723" xr:uid="{00000000-0005-0000-0000-00005F050000}"/>
    <cellStyle name="Normal 66 4" xfId="622" xr:uid="{00000000-0005-0000-0000-000060050000}"/>
    <cellStyle name="Normal 66 4 2" xfId="1088" xr:uid="{00000000-0005-0000-0000-000061050000}"/>
    <cellStyle name="Normal 66 4 2 2" xfId="1726" xr:uid="{00000000-0005-0000-0000-000062050000}"/>
    <cellStyle name="Normal 66 4 3" xfId="1725" xr:uid="{00000000-0005-0000-0000-000063050000}"/>
    <cellStyle name="Normal 66 5" xfId="773" xr:uid="{00000000-0005-0000-0000-000064050000}"/>
    <cellStyle name="Normal 66 5 2" xfId="1727" xr:uid="{00000000-0005-0000-0000-000065050000}"/>
    <cellStyle name="Normal 67" xfId="416" xr:uid="{00000000-0005-0000-0000-000066050000}"/>
    <cellStyle name="Normal 67 2" xfId="623" xr:uid="{00000000-0005-0000-0000-000067050000}"/>
    <cellStyle name="Normal 67 2 2" xfId="1089" xr:uid="{00000000-0005-0000-0000-000068050000}"/>
    <cellStyle name="Normal 67 2 2 2" xfId="1730" xr:uid="{00000000-0005-0000-0000-000069050000}"/>
    <cellStyle name="Normal 67 2 3" xfId="1729" xr:uid="{00000000-0005-0000-0000-00006A050000}"/>
    <cellStyle name="Normal 67 3" xfId="774" xr:uid="{00000000-0005-0000-0000-00006B050000}"/>
    <cellStyle name="Normal 67 3 2" xfId="1731" xr:uid="{00000000-0005-0000-0000-00006C050000}"/>
    <cellStyle name="Normal 67 4" xfId="1728" xr:uid="{00000000-0005-0000-0000-00006D050000}"/>
    <cellStyle name="Normal 68" xfId="538" xr:uid="{00000000-0005-0000-0000-00006E050000}"/>
    <cellStyle name="Normal 69" xfId="305" xr:uid="{00000000-0005-0000-0000-00006F050000}"/>
    <cellStyle name="Normal 7" xfId="15" xr:uid="{00000000-0005-0000-0000-000070050000}"/>
    <cellStyle name="Normal 7 2" xfId="137" xr:uid="{00000000-0005-0000-0000-000071050000}"/>
    <cellStyle name="Normal 7 2 2" xfId="498" xr:uid="{00000000-0005-0000-0000-000072050000}"/>
    <cellStyle name="Normal 7 2 2 2" xfId="1027" xr:uid="{00000000-0005-0000-0000-000073050000}"/>
    <cellStyle name="Normal 7 2 3" xfId="390" xr:uid="{00000000-0005-0000-0000-000074050000}"/>
    <cellStyle name="Normal 7 2 4" xfId="274" xr:uid="{00000000-0005-0000-0000-000075050000}"/>
    <cellStyle name="Normal 7 3" xfId="497" xr:uid="{00000000-0005-0000-0000-000076050000}"/>
    <cellStyle name="Normal 7 3 2" xfId="1026" xr:uid="{00000000-0005-0000-0000-000077050000}"/>
    <cellStyle name="Normal 7 4" xfId="308" xr:uid="{00000000-0005-0000-0000-000078050000}"/>
    <cellStyle name="Normal 7 5" xfId="192" xr:uid="{00000000-0005-0000-0000-000079050000}"/>
    <cellStyle name="Normal 70" xfId="409" xr:uid="{00000000-0005-0000-0000-00007A050000}"/>
    <cellStyle name="Normal 71" xfId="572" xr:uid="{00000000-0005-0000-0000-00007B050000}"/>
    <cellStyle name="Normal 72" xfId="573" xr:uid="{00000000-0005-0000-0000-00007C050000}"/>
    <cellStyle name="Normal 73" xfId="306" xr:uid="{00000000-0005-0000-0000-00007D050000}"/>
    <cellStyle name="Normal 74" xfId="575" xr:uid="{00000000-0005-0000-0000-00007E050000}"/>
    <cellStyle name="Normal 75" xfId="574" xr:uid="{00000000-0005-0000-0000-00007F050000}"/>
    <cellStyle name="Normal 76" xfId="576" xr:uid="{00000000-0005-0000-0000-000080050000}"/>
    <cellStyle name="Normal 77" xfId="656" xr:uid="{00000000-0005-0000-0000-000081050000}"/>
    <cellStyle name="Normal 78" xfId="713" xr:uid="{00000000-0005-0000-0000-000082050000}"/>
    <cellStyle name="Normal 79" xfId="714" xr:uid="{00000000-0005-0000-0000-000083050000}"/>
    <cellStyle name="Normal 8" xfId="138" xr:uid="{00000000-0005-0000-0000-000084050000}"/>
    <cellStyle name="Normal 8 2" xfId="139" xr:uid="{00000000-0005-0000-0000-000085050000}"/>
    <cellStyle name="Normal 8 2 2" xfId="500" xr:uid="{00000000-0005-0000-0000-000086050000}"/>
    <cellStyle name="Normal 8 2 2 2" xfId="1029" xr:uid="{00000000-0005-0000-0000-000087050000}"/>
    <cellStyle name="Normal 8 2 3" xfId="392" xr:uid="{00000000-0005-0000-0000-000088050000}"/>
    <cellStyle name="Normal 8 2 4" xfId="276" xr:uid="{00000000-0005-0000-0000-000089050000}"/>
    <cellStyle name="Normal 8 3" xfId="499" xr:uid="{00000000-0005-0000-0000-00008A050000}"/>
    <cellStyle name="Normal 8 3 2" xfId="1028" xr:uid="{00000000-0005-0000-0000-00008B050000}"/>
    <cellStyle name="Normal 8 4" xfId="391" xr:uid="{00000000-0005-0000-0000-00008C050000}"/>
    <cellStyle name="Normal 8 5" xfId="275" xr:uid="{00000000-0005-0000-0000-00008D050000}"/>
    <cellStyle name="Normal 80" xfId="190" xr:uid="{00000000-0005-0000-0000-00008E050000}"/>
    <cellStyle name="Normal 81" xfId="293" xr:uid="{00000000-0005-0000-0000-00008F050000}"/>
    <cellStyle name="Normal 82" xfId="721" xr:uid="{00000000-0005-0000-0000-000090050000}"/>
    <cellStyle name="Normal 83" xfId="722" xr:uid="{00000000-0005-0000-0000-000091050000}"/>
    <cellStyle name="Normal 84" xfId="720" xr:uid="{00000000-0005-0000-0000-000092050000}"/>
    <cellStyle name="Normal 85" xfId="719" xr:uid="{00000000-0005-0000-0000-000093050000}"/>
    <cellStyle name="Normal 86" xfId="718" xr:uid="{00000000-0005-0000-0000-000094050000}"/>
    <cellStyle name="Normal 87" xfId="723" xr:uid="{00000000-0005-0000-0000-000095050000}"/>
    <cellStyle name="Normal 88" xfId="1185" xr:uid="{00000000-0005-0000-0000-000096050000}"/>
    <cellStyle name="Normal 89" xfId="1186" xr:uid="{00000000-0005-0000-0000-000097050000}"/>
    <cellStyle name="Normal 9" xfId="16" xr:uid="{00000000-0005-0000-0000-000098050000}"/>
    <cellStyle name="Normal 9 2" xfId="501" xr:uid="{00000000-0005-0000-0000-000099050000}"/>
    <cellStyle name="Normal 9 2 2" xfId="1030" xr:uid="{00000000-0005-0000-0000-00009A050000}"/>
    <cellStyle name="Normal 9 3" xfId="309" xr:uid="{00000000-0005-0000-0000-00009B050000}"/>
    <cellStyle name="Normal 9 4" xfId="193" xr:uid="{00000000-0005-0000-0000-00009C050000}"/>
    <cellStyle name="Normal 90" xfId="1184" xr:uid="{00000000-0005-0000-0000-00009D050000}"/>
    <cellStyle name="Normal 91" xfId="902" xr:uid="{00000000-0005-0000-0000-00009E050000}"/>
    <cellStyle name="Normal 92" xfId="1183" xr:uid="{00000000-0005-0000-0000-00009F050000}"/>
    <cellStyle name="Normal 93" xfId="1181" xr:uid="{00000000-0005-0000-0000-0000A0050000}"/>
    <cellStyle name="Normal 94" xfId="878" xr:uid="{00000000-0005-0000-0000-0000A1050000}"/>
    <cellStyle name="Normal 95" xfId="1190" xr:uid="{00000000-0005-0000-0000-0000A2050000}"/>
    <cellStyle name="Normal 96" xfId="1182" xr:uid="{00000000-0005-0000-0000-0000A3050000}"/>
    <cellStyle name="Normal 97" xfId="1188" xr:uid="{00000000-0005-0000-0000-0000A4050000}"/>
    <cellStyle name="Normal 98" xfId="1187" xr:uid="{00000000-0005-0000-0000-0000A5050000}"/>
    <cellStyle name="Normal 99" xfId="1191" xr:uid="{00000000-0005-0000-0000-0000A6050000}"/>
    <cellStyle name="Normal_Plan1" xfId="1957" xr:uid="{00000000-0005-0000-0000-0000A7050000}"/>
    <cellStyle name="Normal1" xfId="140" xr:uid="{00000000-0005-0000-0000-0000A8050000}"/>
    <cellStyle name="Normal2" xfId="141" xr:uid="{00000000-0005-0000-0000-0000A9050000}"/>
    <cellStyle name="Normal3" xfId="142" xr:uid="{00000000-0005-0000-0000-0000AA050000}"/>
    <cellStyle name="Percent [2]" xfId="143" xr:uid="{00000000-0005-0000-0000-0000AB050000}"/>
    <cellStyle name="Percent [2] 2" xfId="502" xr:uid="{00000000-0005-0000-0000-0000AC050000}"/>
    <cellStyle name="Percent [2] 2 2" xfId="1031" xr:uid="{00000000-0005-0000-0000-0000AD050000}"/>
    <cellStyle name="Percent [2] 3" xfId="393" xr:uid="{00000000-0005-0000-0000-0000AE050000}"/>
    <cellStyle name="Percent [2] 4" xfId="277" xr:uid="{00000000-0005-0000-0000-0000AF050000}"/>
    <cellStyle name="Percent_Sheet1" xfId="144" xr:uid="{00000000-0005-0000-0000-0000B0050000}"/>
    <cellStyle name="Percentual" xfId="145" xr:uid="{00000000-0005-0000-0000-0000B1050000}"/>
    <cellStyle name="Ponto" xfId="146" xr:uid="{00000000-0005-0000-0000-0000B2050000}"/>
    <cellStyle name="Porcentagem" xfId="1956" builtinId="5"/>
    <cellStyle name="Porcentagem 2" xfId="17" xr:uid="{00000000-0005-0000-0000-0000B4050000}"/>
    <cellStyle name="Porcentagem 2 2" xfId="179" xr:uid="{00000000-0005-0000-0000-0000B5050000}"/>
    <cellStyle name="Porcentagem 2 2 2" xfId="919" xr:uid="{00000000-0005-0000-0000-0000B6050000}"/>
    <cellStyle name="Porcentagem 2 3" xfId="868" xr:uid="{00000000-0005-0000-0000-0000B7050000}"/>
    <cellStyle name="Porcentagem 3" xfId="18" xr:uid="{00000000-0005-0000-0000-0000B8050000}"/>
    <cellStyle name="Porcentagem 3 2" xfId="147" xr:uid="{00000000-0005-0000-0000-0000B9050000}"/>
    <cellStyle name="Porcentagem 3 3" xfId="503" xr:uid="{00000000-0005-0000-0000-0000BA050000}"/>
    <cellStyle name="Porcentagem 4" xfId="19" xr:uid="{00000000-0005-0000-0000-0000BB050000}"/>
    <cellStyle name="Porcentagem 4 2" xfId="20" xr:uid="{00000000-0005-0000-0000-0000BC050000}"/>
    <cellStyle name="Porcentagem 4 2 2" xfId="177" xr:uid="{00000000-0005-0000-0000-0000BD050000}"/>
    <cellStyle name="Porcentagem 4 2 2 2" xfId="917" xr:uid="{00000000-0005-0000-0000-0000BE050000}"/>
    <cellStyle name="Porcentagem 4 2 3" xfId="784" xr:uid="{00000000-0005-0000-0000-0000BF050000}"/>
    <cellStyle name="Porcentagem 5" xfId="148" xr:uid="{00000000-0005-0000-0000-0000C0050000}"/>
    <cellStyle name="Porcentagem 6" xfId="149" xr:uid="{00000000-0005-0000-0000-0000C1050000}"/>
    <cellStyle name="Porcentagem 6 2" xfId="150" xr:uid="{00000000-0005-0000-0000-0000C2050000}"/>
    <cellStyle name="Porcentagem 6 2 2" xfId="505" xr:uid="{00000000-0005-0000-0000-0000C3050000}"/>
    <cellStyle name="Porcentagem 6 2 2 2" xfId="655" xr:uid="{00000000-0005-0000-0000-0000C4050000}"/>
    <cellStyle name="Porcentagem 6 2 2 2 2" xfId="1121" xr:uid="{00000000-0005-0000-0000-0000C5050000}"/>
    <cellStyle name="Porcentagem 6 2 2 2 2 2" xfId="1734" xr:uid="{00000000-0005-0000-0000-0000C6050000}"/>
    <cellStyle name="Porcentagem 6 2 2 2 3" xfId="1733" xr:uid="{00000000-0005-0000-0000-0000C7050000}"/>
    <cellStyle name="Porcentagem 6 2 2 3" xfId="808" xr:uid="{00000000-0005-0000-0000-0000C8050000}"/>
    <cellStyle name="Porcentagem 6 2 2 3 2" xfId="1735" xr:uid="{00000000-0005-0000-0000-0000C9050000}"/>
    <cellStyle name="Porcentagem 6 2 2 4" xfId="1732" xr:uid="{00000000-0005-0000-0000-0000CA050000}"/>
    <cellStyle name="Porcentagem 6 2 3" xfId="557" xr:uid="{00000000-0005-0000-0000-0000CB050000}"/>
    <cellStyle name="Porcentagem 6 2 3 2" xfId="698" xr:uid="{00000000-0005-0000-0000-0000CC050000}"/>
    <cellStyle name="Porcentagem 6 2 3 2 2" xfId="1163" xr:uid="{00000000-0005-0000-0000-0000CD050000}"/>
    <cellStyle name="Porcentagem 6 2 3 2 2 2" xfId="1738" xr:uid="{00000000-0005-0000-0000-0000CE050000}"/>
    <cellStyle name="Porcentagem 6 2 3 2 3" xfId="1737" xr:uid="{00000000-0005-0000-0000-0000CF050000}"/>
    <cellStyle name="Porcentagem 6 2 3 3" xfId="851" xr:uid="{00000000-0005-0000-0000-0000D0050000}"/>
    <cellStyle name="Porcentagem 6 2 3 3 2" xfId="1739" xr:uid="{00000000-0005-0000-0000-0000D1050000}"/>
    <cellStyle name="Porcentagem 6 2 3 4" xfId="1736" xr:uid="{00000000-0005-0000-0000-0000D2050000}"/>
    <cellStyle name="Porcentagem 6 2 4" xfId="395" xr:uid="{00000000-0005-0000-0000-0000D3050000}"/>
    <cellStyle name="Porcentagem 6 2 4 2" xfId="961" xr:uid="{00000000-0005-0000-0000-0000D4050000}"/>
    <cellStyle name="Porcentagem 6 2 4 2 2" xfId="1741" xr:uid="{00000000-0005-0000-0000-0000D5050000}"/>
    <cellStyle name="Porcentagem 6 2 4 3" xfId="1740" xr:uid="{00000000-0005-0000-0000-0000D6050000}"/>
    <cellStyle name="Porcentagem 6 2 5" xfId="608" xr:uid="{00000000-0005-0000-0000-0000D7050000}"/>
    <cellStyle name="Porcentagem 6 2 5 2" xfId="1074" xr:uid="{00000000-0005-0000-0000-0000D8050000}"/>
    <cellStyle name="Porcentagem 6 2 5 2 2" xfId="1743" xr:uid="{00000000-0005-0000-0000-0000D9050000}"/>
    <cellStyle name="Porcentagem 6 2 5 3" xfId="1742" xr:uid="{00000000-0005-0000-0000-0000DA050000}"/>
    <cellStyle name="Porcentagem 6 2 6" xfId="279" xr:uid="{00000000-0005-0000-0000-0000DB050000}"/>
    <cellStyle name="Porcentagem 6 2 6 2" xfId="904" xr:uid="{00000000-0005-0000-0000-0000DC050000}"/>
    <cellStyle name="Porcentagem 6 2 6 2 2" xfId="1745" xr:uid="{00000000-0005-0000-0000-0000DD050000}"/>
    <cellStyle name="Porcentagem 6 2 6 3" xfId="1744" xr:uid="{00000000-0005-0000-0000-0000DE050000}"/>
    <cellStyle name="Porcentagem 6 2 7" xfId="757" xr:uid="{00000000-0005-0000-0000-0000DF050000}"/>
    <cellStyle name="Porcentagem 6 2 7 2" xfId="1746" xr:uid="{00000000-0005-0000-0000-0000E0050000}"/>
    <cellStyle name="Porcentagem 6 2 8" xfId="1224" xr:uid="{00000000-0005-0000-0000-0000E1050000}"/>
    <cellStyle name="Porcentagem 6 3" xfId="504" xr:uid="{00000000-0005-0000-0000-0000E2050000}"/>
    <cellStyle name="Porcentagem 6 3 2" xfId="654" xr:uid="{00000000-0005-0000-0000-0000E3050000}"/>
    <cellStyle name="Porcentagem 6 3 2 2" xfId="1120" xr:uid="{00000000-0005-0000-0000-0000E4050000}"/>
    <cellStyle name="Porcentagem 6 3 2 2 2" xfId="1749" xr:uid="{00000000-0005-0000-0000-0000E5050000}"/>
    <cellStyle name="Porcentagem 6 3 2 3" xfId="1748" xr:uid="{00000000-0005-0000-0000-0000E6050000}"/>
    <cellStyle name="Porcentagem 6 3 3" xfId="807" xr:uid="{00000000-0005-0000-0000-0000E7050000}"/>
    <cellStyle name="Porcentagem 6 3 3 2" xfId="1750" xr:uid="{00000000-0005-0000-0000-0000E8050000}"/>
    <cellStyle name="Porcentagem 6 3 4" xfId="1747" xr:uid="{00000000-0005-0000-0000-0000E9050000}"/>
    <cellStyle name="Porcentagem 6 4" xfId="556" xr:uid="{00000000-0005-0000-0000-0000EA050000}"/>
    <cellStyle name="Porcentagem 6 4 2" xfId="697" xr:uid="{00000000-0005-0000-0000-0000EB050000}"/>
    <cellStyle name="Porcentagem 6 4 2 2" xfId="1162" xr:uid="{00000000-0005-0000-0000-0000EC050000}"/>
    <cellStyle name="Porcentagem 6 4 2 2 2" xfId="1753" xr:uid="{00000000-0005-0000-0000-0000ED050000}"/>
    <cellStyle name="Porcentagem 6 4 2 3" xfId="1752" xr:uid="{00000000-0005-0000-0000-0000EE050000}"/>
    <cellStyle name="Porcentagem 6 4 3" xfId="850" xr:uid="{00000000-0005-0000-0000-0000EF050000}"/>
    <cellStyle name="Porcentagem 6 4 3 2" xfId="1754" xr:uid="{00000000-0005-0000-0000-0000F0050000}"/>
    <cellStyle name="Porcentagem 6 4 4" xfId="1751" xr:uid="{00000000-0005-0000-0000-0000F1050000}"/>
    <cellStyle name="Porcentagem 6 5" xfId="394" xr:uid="{00000000-0005-0000-0000-0000F2050000}"/>
    <cellStyle name="Porcentagem 6 5 2" xfId="960" xr:uid="{00000000-0005-0000-0000-0000F3050000}"/>
    <cellStyle name="Porcentagem 6 5 2 2" xfId="1756" xr:uid="{00000000-0005-0000-0000-0000F4050000}"/>
    <cellStyle name="Porcentagem 6 5 3" xfId="1755" xr:uid="{00000000-0005-0000-0000-0000F5050000}"/>
    <cellStyle name="Porcentagem 6 6" xfId="607" xr:uid="{00000000-0005-0000-0000-0000F6050000}"/>
    <cellStyle name="Porcentagem 6 6 2" xfId="1073" xr:uid="{00000000-0005-0000-0000-0000F7050000}"/>
    <cellStyle name="Porcentagem 6 6 2 2" xfId="1758" xr:uid="{00000000-0005-0000-0000-0000F8050000}"/>
    <cellStyle name="Porcentagem 6 6 3" xfId="1757" xr:uid="{00000000-0005-0000-0000-0000F9050000}"/>
    <cellStyle name="Porcentagem 6 7" xfId="278" xr:uid="{00000000-0005-0000-0000-0000FA050000}"/>
    <cellStyle name="Porcentagem 6 7 2" xfId="903" xr:uid="{00000000-0005-0000-0000-0000FB050000}"/>
    <cellStyle name="Porcentagem 6 7 2 2" xfId="1760" xr:uid="{00000000-0005-0000-0000-0000FC050000}"/>
    <cellStyle name="Porcentagem 6 7 3" xfId="1759" xr:uid="{00000000-0005-0000-0000-0000FD050000}"/>
    <cellStyle name="Porcentagem 6 8" xfId="756" xr:uid="{00000000-0005-0000-0000-0000FE050000}"/>
    <cellStyle name="Porcentagem 6 8 2" xfId="1761" xr:uid="{00000000-0005-0000-0000-0000FF050000}"/>
    <cellStyle name="Porcentagem 6 9" xfId="1223" xr:uid="{00000000-0005-0000-0000-000000060000}"/>
    <cellStyle name="Porcentagem 7" xfId="185" xr:uid="{00000000-0005-0000-0000-000001060000}"/>
    <cellStyle name="Porcentagem 7 2" xfId="925" xr:uid="{00000000-0005-0000-0000-000002060000}"/>
    <cellStyle name="Result" xfId="21" xr:uid="{00000000-0005-0000-0000-000003060000}"/>
    <cellStyle name="Result2" xfId="22" xr:uid="{00000000-0005-0000-0000-000004060000}"/>
    <cellStyle name="Sep. milhar [0]" xfId="151" xr:uid="{00000000-0005-0000-0000-000005060000}"/>
    <cellStyle name="Separador de m" xfId="152" xr:uid="{00000000-0005-0000-0000-000006060000}"/>
    <cellStyle name="Separador de milhares 2" xfId="23" xr:uid="{00000000-0005-0000-0000-000007060000}"/>
    <cellStyle name="Separador de milhares 2 2" xfId="153" xr:uid="{00000000-0005-0000-0000-000008060000}"/>
    <cellStyle name="Separador de milhares 2 2 2" xfId="507" xr:uid="{00000000-0005-0000-0000-000009060000}"/>
    <cellStyle name="Separador de milhares 2 2 2 2" xfId="1033" xr:uid="{00000000-0005-0000-0000-00000A060000}"/>
    <cellStyle name="Separador de milhares 2 2 3" xfId="396" xr:uid="{00000000-0005-0000-0000-00000B060000}"/>
    <cellStyle name="Separador de milhares 2 2 4" xfId="280" xr:uid="{00000000-0005-0000-0000-00000C060000}"/>
    <cellStyle name="Separador de milhares 2 3" xfId="506" xr:uid="{00000000-0005-0000-0000-00000D060000}"/>
    <cellStyle name="Separador de milhares 2 3 2" xfId="1032" xr:uid="{00000000-0005-0000-0000-00000E060000}"/>
    <cellStyle name="Separador de milhares 2 4" xfId="310" xr:uid="{00000000-0005-0000-0000-00000F060000}"/>
    <cellStyle name="Separador de milhares 2 5" xfId="194" xr:uid="{00000000-0005-0000-0000-000010060000}"/>
    <cellStyle name="Separador de milhares 3" xfId="154" xr:uid="{00000000-0005-0000-0000-000011060000}"/>
    <cellStyle name="Separador de milhares 4" xfId="24" xr:uid="{00000000-0005-0000-0000-000012060000}"/>
    <cellStyle name="Sepavador de milhares [0]_Pasta2" xfId="155" xr:uid="{00000000-0005-0000-0000-000013060000}"/>
    <cellStyle name="Standard_RP100_01 (metr.)" xfId="156" xr:uid="{00000000-0005-0000-0000-000014060000}"/>
    <cellStyle name="Titulo1" xfId="157" xr:uid="{00000000-0005-0000-0000-000015060000}"/>
    <cellStyle name="Titulo2" xfId="158" xr:uid="{00000000-0005-0000-0000-000016060000}"/>
    <cellStyle name="Vírgula" xfId="25" builtinId="3"/>
    <cellStyle name="Vírgula 10" xfId="159" xr:uid="{00000000-0005-0000-0000-000018060000}"/>
    <cellStyle name="Vírgula 10 2" xfId="160" xr:uid="{00000000-0005-0000-0000-000019060000}"/>
    <cellStyle name="Vírgula 10 2 2" xfId="509" xr:uid="{00000000-0005-0000-0000-00001A060000}"/>
    <cellStyle name="Vírgula 10 2 2 2" xfId="658" xr:uid="{00000000-0005-0000-0000-00001B060000}"/>
    <cellStyle name="Vírgula 10 2 2 2 2" xfId="1123" xr:uid="{00000000-0005-0000-0000-00001C060000}"/>
    <cellStyle name="Vírgula 10 2 2 2 2 2" xfId="1764" xr:uid="{00000000-0005-0000-0000-00001D060000}"/>
    <cellStyle name="Vírgula 10 2 2 2 3" xfId="1763" xr:uid="{00000000-0005-0000-0000-00001E060000}"/>
    <cellStyle name="Vírgula 10 2 2 3" xfId="810" xr:uid="{00000000-0005-0000-0000-00001F060000}"/>
    <cellStyle name="Vírgula 10 2 2 3 2" xfId="1765" xr:uid="{00000000-0005-0000-0000-000020060000}"/>
    <cellStyle name="Vírgula 10 2 2 4" xfId="1762" xr:uid="{00000000-0005-0000-0000-000021060000}"/>
    <cellStyle name="Vírgula 10 2 3" xfId="559" xr:uid="{00000000-0005-0000-0000-000022060000}"/>
    <cellStyle name="Vírgula 10 2 3 2" xfId="700" xr:uid="{00000000-0005-0000-0000-000023060000}"/>
    <cellStyle name="Vírgula 10 2 3 2 2" xfId="1165" xr:uid="{00000000-0005-0000-0000-000024060000}"/>
    <cellStyle name="Vírgula 10 2 3 2 2 2" xfId="1768" xr:uid="{00000000-0005-0000-0000-000025060000}"/>
    <cellStyle name="Vírgula 10 2 3 2 3" xfId="1767" xr:uid="{00000000-0005-0000-0000-000026060000}"/>
    <cellStyle name="Vírgula 10 2 3 3" xfId="853" xr:uid="{00000000-0005-0000-0000-000027060000}"/>
    <cellStyle name="Vírgula 10 2 3 3 2" xfId="1769" xr:uid="{00000000-0005-0000-0000-000028060000}"/>
    <cellStyle name="Vírgula 10 2 3 4" xfId="1766" xr:uid="{00000000-0005-0000-0000-000029060000}"/>
    <cellStyle name="Vírgula 10 2 4" xfId="398" xr:uid="{00000000-0005-0000-0000-00002A060000}"/>
    <cellStyle name="Vírgula 10 2 4 2" xfId="963" xr:uid="{00000000-0005-0000-0000-00002B060000}"/>
    <cellStyle name="Vírgula 10 2 4 2 2" xfId="1771" xr:uid="{00000000-0005-0000-0000-00002C060000}"/>
    <cellStyle name="Vírgula 10 2 4 3" xfId="1770" xr:uid="{00000000-0005-0000-0000-00002D060000}"/>
    <cellStyle name="Vírgula 10 2 5" xfId="610" xr:uid="{00000000-0005-0000-0000-00002E060000}"/>
    <cellStyle name="Vírgula 10 2 5 2" xfId="1076" xr:uid="{00000000-0005-0000-0000-00002F060000}"/>
    <cellStyle name="Vírgula 10 2 5 2 2" xfId="1773" xr:uid="{00000000-0005-0000-0000-000030060000}"/>
    <cellStyle name="Vírgula 10 2 5 3" xfId="1772" xr:uid="{00000000-0005-0000-0000-000031060000}"/>
    <cellStyle name="Vírgula 10 2 6" xfId="282" xr:uid="{00000000-0005-0000-0000-000032060000}"/>
    <cellStyle name="Vírgula 10 2 6 2" xfId="906" xr:uid="{00000000-0005-0000-0000-000033060000}"/>
    <cellStyle name="Vírgula 10 2 6 2 2" xfId="1775" xr:uid="{00000000-0005-0000-0000-000034060000}"/>
    <cellStyle name="Vírgula 10 2 6 3" xfId="1774" xr:uid="{00000000-0005-0000-0000-000035060000}"/>
    <cellStyle name="Vírgula 10 2 7" xfId="760" xr:uid="{00000000-0005-0000-0000-000036060000}"/>
    <cellStyle name="Vírgula 10 2 7 2" xfId="1776" xr:uid="{00000000-0005-0000-0000-000037060000}"/>
    <cellStyle name="Vírgula 10 2 8" xfId="1226" xr:uid="{00000000-0005-0000-0000-000038060000}"/>
    <cellStyle name="Vírgula 10 3" xfId="508" xr:uid="{00000000-0005-0000-0000-000039060000}"/>
    <cellStyle name="Vírgula 10 3 2" xfId="657" xr:uid="{00000000-0005-0000-0000-00003A060000}"/>
    <cellStyle name="Vírgula 10 3 2 2" xfId="1122" xr:uid="{00000000-0005-0000-0000-00003B060000}"/>
    <cellStyle name="Vírgula 10 3 2 2 2" xfId="1779" xr:uid="{00000000-0005-0000-0000-00003C060000}"/>
    <cellStyle name="Vírgula 10 3 2 3" xfId="1778" xr:uid="{00000000-0005-0000-0000-00003D060000}"/>
    <cellStyle name="Vírgula 10 3 3" xfId="809" xr:uid="{00000000-0005-0000-0000-00003E060000}"/>
    <cellStyle name="Vírgula 10 3 3 2" xfId="1780" xr:uid="{00000000-0005-0000-0000-00003F060000}"/>
    <cellStyle name="Vírgula 10 3 4" xfId="1777" xr:uid="{00000000-0005-0000-0000-000040060000}"/>
    <cellStyle name="Vírgula 10 4" xfId="558" xr:uid="{00000000-0005-0000-0000-000041060000}"/>
    <cellStyle name="Vírgula 10 4 2" xfId="699" xr:uid="{00000000-0005-0000-0000-000042060000}"/>
    <cellStyle name="Vírgula 10 4 2 2" xfId="1164" xr:uid="{00000000-0005-0000-0000-000043060000}"/>
    <cellStyle name="Vírgula 10 4 2 2 2" xfId="1783" xr:uid="{00000000-0005-0000-0000-000044060000}"/>
    <cellStyle name="Vírgula 10 4 2 3" xfId="1782" xr:uid="{00000000-0005-0000-0000-000045060000}"/>
    <cellStyle name="Vírgula 10 4 3" xfId="852" xr:uid="{00000000-0005-0000-0000-000046060000}"/>
    <cellStyle name="Vírgula 10 4 3 2" xfId="1784" xr:uid="{00000000-0005-0000-0000-000047060000}"/>
    <cellStyle name="Vírgula 10 4 4" xfId="1781" xr:uid="{00000000-0005-0000-0000-000048060000}"/>
    <cellStyle name="Vírgula 10 5" xfId="397" xr:uid="{00000000-0005-0000-0000-000049060000}"/>
    <cellStyle name="Vírgula 10 5 2" xfId="962" xr:uid="{00000000-0005-0000-0000-00004A060000}"/>
    <cellStyle name="Vírgula 10 5 2 2" xfId="1786" xr:uid="{00000000-0005-0000-0000-00004B060000}"/>
    <cellStyle name="Vírgula 10 5 3" xfId="1785" xr:uid="{00000000-0005-0000-0000-00004C060000}"/>
    <cellStyle name="Vírgula 10 6" xfId="609" xr:uid="{00000000-0005-0000-0000-00004D060000}"/>
    <cellStyle name="Vírgula 10 6 2" xfId="1075" xr:uid="{00000000-0005-0000-0000-00004E060000}"/>
    <cellStyle name="Vírgula 10 6 2 2" xfId="1788" xr:uid="{00000000-0005-0000-0000-00004F060000}"/>
    <cellStyle name="Vírgula 10 6 3" xfId="1787" xr:uid="{00000000-0005-0000-0000-000050060000}"/>
    <cellStyle name="Vírgula 10 7" xfId="281" xr:uid="{00000000-0005-0000-0000-000051060000}"/>
    <cellStyle name="Vírgula 10 7 2" xfId="905" xr:uid="{00000000-0005-0000-0000-000052060000}"/>
    <cellStyle name="Vírgula 10 7 2 2" xfId="1790" xr:uid="{00000000-0005-0000-0000-000053060000}"/>
    <cellStyle name="Vírgula 10 7 3" xfId="1789" xr:uid="{00000000-0005-0000-0000-000054060000}"/>
    <cellStyle name="Vírgula 10 8" xfId="759" xr:uid="{00000000-0005-0000-0000-000055060000}"/>
    <cellStyle name="Vírgula 10 8 2" xfId="1791" xr:uid="{00000000-0005-0000-0000-000056060000}"/>
    <cellStyle name="Vírgula 10 9" xfId="1225" xr:uid="{00000000-0005-0000-0000-000057060000}"/>
    <cellStyle name="Vírgula 11" xfId="161" xr:uid="{00000000-0005-0000-0000-000058060000}"/>
    <cellStyle name="Vírgula 11 2" xfId="510" xr:uid="{00000000-0005-0000-0000-000059060000}"/>
    <cellStyle name="Vírgula 11 2 2" xfId="1034" xr:uid="{00000000-0005-0000-0000-00005A060000}"/>
    <cellStyle name="Vírgula 11 3" xfId="399" xr:uid="{00000000-0005-0000-0000-00005B060000}"/>
    <cellStyle name="Vírgula 11 4" xfId="283" xr:uid="{00000000-0005-0000-0000-00005C060000}"/>
    <cellStyle name="Vírgula 12" xfId="162" xr:uid="{00000000-0005-0000-0000-00005D060000}"/>
    <cellStyle name="Vírgula 12 2" xfId="511" xr:uid="{00000000-0005-0000-0000-00005E060000}"/>
    <cellStyle name="Vírgula 12 2 2" xfId="659" xr:uid="{00000000-0005-0000-0000-00005F060000}"/>
    <cellStyle name="Vírgula 12 2 2 2" xfId="1124" xr:uid="{00000000-0005-0000-0000-000060060000}"/>
    <cellStyle name="Vírgula 12 2 2 2 2" xfId="1794" xr:uid="{00000000-0005-0000-0000-000061060000}"/>
    <cellStyle name="Vírgula 12 2 2 3" xfId="1793" xr:uid="{00000000-0005-0000-0000-000062060000}"/>
    <cellStyle name="Vírgula 12 2 3" xfId="811" xr:uid="{00000000-0005-0000-0000-000063060000}"/>
    <cellStyle name="Vírgula 12 2 3 2" xfId="1795" xr:uid="{00000000-0005-0000-0000-000064060000}"/>
    <cellStyle name="Vírgula 12 2 4" xfId="1792" xr:uid="{00000000-0005-0000-0000-000065060000}"/>
    <cellStyle name="Vírgula 12 3" xfId="560" xr:uid="{00000000-0005-0000-0000-000066060000}"/>
    <cellStyle name="Vírgula 12 3 2" xfId="701" xr:uid="{00000000-0005-0000-0000-000067060000}"/>
    <cellStyle name="Vírgula 12 3 2 2" xfId="1166" xr:uid="{00000000-0005-0000-0000-000068060000}"/>
    <cellStyle name="Vírgula 12 3 2 2 2" xfId="1798" xr:uid="{00000000-0005-0000-0000-000069060000}"/>
    <cellStyle name="Vírgula 12 3 2 3" xfId="1797" xr:uid="{00000000-0005-0000-0000-00006A060000}"/>
    <cellStyle name="Vírgula 12 3 3" xfId="854" xr:uid="{00000000-0005-0000-0000-00006B060000}"/>
    <cellStyle name="Vírgula 12 3 3 2" xfId="1799" xr:uid="{00000000-0005-0000-0000-00006C060000}"/>
    <cellStyle name="Vírgula 12 3 4" xfId="1796" xr:uid="{00000000-0005-0000-0000-00006D060000}"/>
    <cellStyle name="Vírgula 12 4" xfId="400" xr:uid="{00000000-0005-0000-0000-00006E060000}"/>
    <cellStyle name="Vírgula 12 4 2" xfId="964" xr:uid="{00000000-0005-0000-0000-00006F060000}"/>
    <cellStyle name="Vírgula 12 4 2 2" xfId="1801" xr:uid="{00000000-0005-0000-0000-000070060000}"/>
    <cellStyle name="Vírgula 12 4 3" xfId="1800" xr:uid="{00000000-0005-0000-0000-000071060000}"/>
    <cellStyle name="Vírgula 12 5" xfId="611" xr:uid="{00000000-0005-0000-0000-000072060000}"/>
    <cellStyle name="Vírgula 12 5 2" xfId="1077" xr:uid="{00000000-0005-0000-0000-000073060000}"/>
    <cellStyle name="Vírgula 12 5 2 2" xfId="1803" xr:uid="{00000000-0005-0000-0000-000074060000}"/>
    <cellStyle name="Vírgula 12 5 3" xfId="1802" xr:uid="{00000000-0005-0000-0000-000075060000}"/>
    <cellStyle name="Vírgula 12 6" xfId="284" xr:uid="{00000000-0005-0000-0000-000076060000}"/>
    <cellStyle name="Vírgula 12 6 2" xfId="907" xr:uid="{00000000-0005-0000-0000-000077060000}"/>
    <cellStyle name="Vírgula 12 6 2 2" xfId="1805" xr:uid="{00000000-0005-0000-0000-000078060000}"/>
    <cellStyle name="Vírgula 12 6 3" xfId="1804" xr:uid="{00000000-0005-0000-0000-000079060000}"/>
    <cellStyle name="Vírgula 12 7" xfId="761" xr:uid="{00000000-0005-0000-0000-00007A060000}"/>
    <cellStyle name="Vírgula 12 7 2" xfId="1806" xr:uid="{00000000-0005-0000-0000-00007B060000}"/>
    <cellStyle name="Vírgula 12 8" xfId="1227" xr:uid="{00000000-0005-0000-0000-00007C060000}"/>
    <cellStyle name="Vírgula 13" xfId="186" xr:uid="{00000000-0005-0000-0000-00007D060000}"/>
    <cellStyle name="Vírgula 13 2" xfId="926" xr:uid="{00000000-0005-0000-0000-00007E060000}"/>
    <cellStyle name="Vírgula 14" xfId="725" xr:uid="{00000000-0005-0000-0000-00007F060000}"/>
    <cellStyle name="Vírgula 2" xfId="26" xr:uid="{00000000-0005-0000-0000-000080060000}"/>
    <cellStyle name="Vírgula 2 2" xfId="163" xr:uid="{00000000-0005-0000-0000-000081060000}"/>
    <cellStyle name="Vírgula 2 2 2" xfId="189" xr:uid="{00000000-0005-0000-0000-000082060000}"/>
    <cellStyle name="Vírgula 2 2 2 2" xfId="929" xr:uid="{00000000-0005-0000-0000-000083060000}"/>
    <cellStyle name="Vírgula 2 2 3" xfId="908" xr:uid="{00000000-0005-0000-0000-000084060000}"/>
    <cellStyle name="Vírgula 2 3" xfId="178" xr:uid="{00000000-0005-0000-0000-000085060000}"/>
    <cellStyle name="Vírgula 2 3 2" xfId="918" xr:uid="{00000000-0005-0000-0000-000086060000}"/>
    <cellStyle name="Vírgula 2 4" xfId="302" xr:uid="{00000000-0005-0000-0000-000087060000}"/>
    <cellStyle name="Vírgula 2 5" xfId="788" xr:uid="{00000000-0005-0000-0000-000088060000}"/>
    <cellStyle name="Vírgula 3" xfId="27" xr:uid="{00000000-0005-0000-0000-000089060000}"/>
    <cellStyle name="Vírgula 3 2" xfId="28" xr:uid="{00000000-0005-0000-0000-00008A060000}"/>
    <cellStyle name="Vírgula 3 2 2" xfId="513" xr:uid="{00000000-0005-0000-0000-00008B060000}"/>
    <cellStyle name="Vírgula 3 2 2 2" xfId="1036" xr:uid="{00000000-0005-0000-0000-00008C060000}"/>
    <cellStyle name="Vírgula 3 2 3" xfId="312" xr:uid="{00000000-0005-0000-0000-00008D060000}"/>
    <cellStyle name="Vírgula 3 2 4" xfId="196" xr:uid="{00000000-0005-0000-0000-00008E060000}"/>
    <cellStyle name="Vírgula 3 3" xfId="512" xr:uid="{00000000-0005-0000-0000-00008F060000}"/>
    <cellStyle name="Vírgula 3 3 2" xfId="1035" xr:uid="{00000000-0005-0000-0000-000090060000}"/>
    <cellStyle name="Vírgula 3 4" xfId="311" xr:uid="{00000000-0005-0000-0000-000091060000}"/>
    <cellStyle name="Vírgula 3 5" xfId="195" xr:uid="{00000000-0005-0000-0000-000092060000}"/>
    <cellStyle name="Vírgula 4" xfId="29" xr:uid="{00000000-0005-0000-0000-000093060000}"/>
    <cellStyle name="Vírgula 5" xfId="30" xr:uid="{00000000-0005-0000-0000-000094060000}"/>
    <cellStyle name="Vírgula 5 2" xfId="31" xr:uid="{00000000-0005-0000-0000-000095060000}"/>
    <cellStyle name="Vírgula 5 2 2" xfId="176" xr:uid="{00000000-0005-0000-0000-000096060000}"/>
    <cellStyle name="Vírgula 5 2 2 2" xfId="916" xr:uid="{00000000-0005-0000-0000-000097060000}"/>
    <cellStyle name="Vírgula 5 2 3" xfId="866" xr:uid="{00000000-0005-0000-0000-000098060000}"/>
    <cellStyle name="Vírgula 5 3" xfId="812" xr:uid="{00000000-0005-0000-0000-000099060000}"/>
    <cellStyle name="Vírgula 6" xfId="164" xr:uid="{00000000-0005-0000-0000-00009A060000}"/>
    <cellStyle name="Vírgula 6 2" xfId="165" xr:uid="{00000000-0005-0000-0000-00009B060000}"/>
    <cellStyle name="Vírgula 6 2 2" xfId="515" xr:uid="{00000000-0005-0000-0000-00009C060000}"/>
    <cellStyle name="Vírgula 6 2 2 2" xfId="1038" xr:uid="{00000000-0005-0000-0000-00009D060000}"/>
    <cellStyle name="Vírgula 6 2 3" xfId="402" xr:uid="{00000000-0005-0000-0000-00009E060000}"/>
    <cellStyle name="Vírgula 6 2 4" xfId="286" xr:uid="{00000000-0005-0000-0000-00009F060000}"/>
    <cellStyle name="Vírgula 6 3" xfId="174" xr:uid="{00000000-0005-0000-0000-0000A0060000}"/>
    <cellStyle name="Vírgula 6 3 2" xfId="516" xr:uid="{00000000-0005-0000-0000-0000A1060000}"/>
    <cellStyle name="Vírgula 6 3 2 2" xfId="1039" xr:uid="{00000000-0005-0000-0000-0000A2060000}"/>
    <cellStyle name="Vírgula 6 3 3" xfId="410" xr:uid="{00000000-0005-0000-0000-0000A3060000}"/>
    <cellStyle name="Vírgula 6 3 4" xfId="294" xr:uid="{00000000-0005-0000-0000-0000A4060000}"/>
    <cellStyle name="Vírgula 6 4" xfId="514" xr:uid="{00000000-0005-0000-0000-0000A5060000}"/>
    <cellStyle name="Vírgula 6 4 2" xfId="1037" xr:uid="{00000000-0005-0000-0000-0000A6060000}"/>
    <cellStyle name="Vírgula 6 5" xfId="401" xr:uid="{00000000-0005-0000-0000-0000A7060000}"/>
    <cellStyle name="Vírgula 6 6" xfId="285" xr:uid="{00000000-0005-0000-0000-0000A8060000}"/>
    <cellStyle name="Vírgula 7" xfId="166" xr:uid="{00000000-0005-0000-0000-0000A9060000}"/>
    <cellStyle name="Vírgula 7 10" xfId="762" xr:uid="{00000000-0005-0000-0000-0000AA060000}"/>
    <cellStyle name="Vírgula 7 10 2" xfId="1807" xr:uid="{00000000-0005-0000-0000-0000AB060000}"/>
    <cellStyle name="Vírgula 7 11" xfId="1228" xr:uid="{00000000-0005-0000-0000-0000AC060000}"/>
    <cellStyle name="Vírgula 7 2" xfId="167" xr:uid="{00000000-0005-0000-0000-0000AD060000}"/>
    <cellStyle name="Vírgula 7 2 2" xfId="518" xr:uid="{00000000-0005-0000-0000-0000AE060000}"/>
    <cellStyle name="Vírgula 7 2 2 2" xfId="661" xr:uid="{00000000-0005-0000-0000-0000AF060000}"/>
    <cellStyle name="Vírgula 7 2 2 2 2" xfId="1126" xr:uid="{00000000-0005-0000-0000-0000B0060000}"/>
    <cellStyle name="Vírgula 7 2 2 2 2 2" xfId="1810" xr:uid="{00000000-0005-0000-0000-0000B1060000}"/>
    <cellStyle name="Vírgula 7 2 2 2 3" xfId="1809" xr:uid="{00000000-0005-0000-0000-0000B2060000}"/>
    <cellStyle name="Vírgula 7 2 2 3" xfId="814" xr:uid="{00000000-0005-0000-0000-0000B3060000}"/>
    <cellStyle name="Vírgula 7 2 2 3 2" xfId="1811" xr:uid="{00000000-0005-0000-0000-0000B4060000}"/>
    <cellStyle name="Vírgula 7 2 2 4" xfId="1808" xr:uid="{00000000-0005-0000-0000-0000B5060000}"/>
    <cellStyle name="Vírgula 7 2 3" xfId="562" xr:uid="{00000000-0005-0000-0000-0000B6060000}"/>
    <cellStyle name="Vírgula 7 2 3 2" xfId="703" xr:uid="{00000000-0005-0000-0000-0000B7060000}"/>
    <cellStyle name="Vírgula 7 2 3 2 2" xfId="1168" xr:uid="{00000000-0005-0000-0000-0000B8060000}"/>
    <cellStyle name="Vírgula 7 2 3 2 2 2" xfId="1814" xr:uid="{00000000-0005-0000-0000-0000B9060000}"/>
    <cellStyle name="Vírgula 7 2 3 2 3" xfId="1813" xr:uid="{00000000-0005-0000-0000-0000BA060000}"/>
    <cellStyle name="Vírgula 7 2 3 3" xfId="856" xr:uid="{00000000-0005-0000-0000-0000BB060000}"/>
    <cellStyle name="Vírgula 7 2 3 3 2" xfId="1815" xr:uid="{00000000-0005-0000-0000-0000BC060000}"/>
    <cellStyle name="Vírgula 7 2 3 4" xfId="1812" xr:uid="{00000000-0005-0000-0000-0000BD060000}"/>
    <cellStyle name="Vírgula 7 2 4" xfId="404" xr:uid="{00000000-0005-0000-0000-0000BE060000}"/>
    <cellStyle name="Vírgula 7 2 4 2" xfId="966" xr:uid="{00000000-0005-0000-0000-0000BF060000}"/>
    <cellStyle name="Vírgula 7 2 4 2 2" xfId="1817" xr:uid="{00000000-0005-0000-0000-0000C0060000}"/>
    <cellStyle name="Vírgula 7 2 4 3" xfId="1816" xr:uid="{00000000-0005-0000-0000-0000C1060000}"/>
    <cellStyle name="Vírgula 7 2 5" xfId="613" xr:uid="{00000000-0005-0000-0000-0000C2060000}"/>
    <cellStyle name="Vírgula 7 2 5 2" xfId="1079" xr:uid="{00000000-0005-0000-0000-0000C3060000}"/>
    <cellStyle name="Vírgula 7 2 5 2 2" xfId="1819" xr:uid="{00000000-0005-0000-0000-0000C4060000}"/>
    <cellStyle name="Vírgula 7 2 5 3" xfId="1818" xr:uid="{00000000-0005-0000-0000-0000C5060000}"/>
    <cellStyle name="Vírgula 7 2 6" xfId="288" xr:uid="{00000000-0005-0000-0000-0000C6060000}"/>
    <cellStyle name="Vírgula 7 2 6 2" xfId="910" xr:uid="{00000000-0005-0000-0000-0000C7060000}"/>
    <cellStyle name="Vírgula 7 2 6 2 2" xfId="1821" xr:uid="{00000000-0005-0000-0000-0000C8060000}"/>
    <cellStyle name="Vírgula 7 2 6 3" xfId="1820" xr:uid="{00000000-0005-0000-0000-0000C9060000}"/>
    <cellStyle name="Vírgula 7 2 7" xfId="763" xr:uid="{00000000-0005-0000-0000-0000CA060000}"/>
    <cellStyle name="Vírgula 7 2 7 2" xfId="1822" xr:uid="{00000000-0005-0000-0000-0000CB060000}"/>
    <cellStyle name="Vírgula 7 2 8" xfId="1229" xr:uid="{00000000-0005-0000-0000-0000CC060000}"/>
    <cellStyle name="Vírgula 7 3" xfId="168" xr:uid="{00000000-0005-0000-0000-0000CD060000}"/>
    <cellStyle name="Vírgula 7 3 2" xfId="519" xr:uid="{00000000-0005-0000-0000-0000CE060000}"/>
    <cellStyle name="Vírgula 7 3 2 2" xfId="662" xr:uid="{00000000-0005-0000-0000-0000CF060000}"/>
    <cellStyle name="Vírgula 7 3 2 2 2" xfId="1127" xr:uid="{00000000-0005-0000-0000-0000D0060000}"/>
    <cellStyle name="Vírgula 7 3 2 2 2 2" xfId="1825" xr:uid="{00000000-0005-0000-0000-0000D1060000}"/>
    <cellStyle name="Vírgula 7 3 2 2 3" xfId="1824" xr:uid="{00000000-0005-0000-0000-0000D2060000}"/>
    <cellStyle name="Vírgula 7 3 2 3" xfId="815" xr:uid="{00000000-0005-0000-0000-0000D3060000}"/>
    <cellStyle name="Vírgula 7 3 2 3 2" xfId="1826" xr:uid="{00000000-0005-0000-0000-0000D4060000}"/>
    <cellStyle name="Vírgula 7 3 2 4" xfId="1823" xr:uid="{00000000-0005-0000-0000-0000D5060000}"/>
    <cellStyle name="Vírgula 7 3 3" xfId="563" xr:uid="{00000000-0005-0000-0000-0000D6060000}"/>
    <cellStyle name="Vírgula 7 3 3 2" xfId="704" xr:uid="{00000000-0005-0000-0000-0000D7060000}"/>
    <cellStyle name="Vírgula 7 3 3 2 2" xfId="1169" xr:uid="{00000000-0005-0000-0000-0000D8060000}"/>
    <cellStyle name="Vírgula 7 3 3 2 2 2" xfId="1829" xr:uid="{00000000-0005-0000-0000-0000D9060000}"/>
    <cellStyle name="Vírgula 7 3 3 2 3" xfId="1828" xr:uid="{00000000-0005-0000-0000-0000DA060000}"/>
    <cellStyle name="Vírgula 7 3 3 3" xfId="857" xr:uid="{00000000-0005-0000-0000-0000DB060000}"/>
    <cellStyle name="Vírgula 7 3 3 3 2" xfId="1830" xr:uid="{00000000-0005-0000-0000-0000DC060000}"/>
    <cellStyle name="Vírgula 7 3 3 4" xfId="1827" xr:uid="{00000000-0005-0000-0000-0000DD060000}"/>
    <cellStyle name="Vírgula 7 3 4" xfId="405" xr:uid="{00000000-0005-0000-0000-0000DE060000}"/>
    <cellStyle name="Vírgula 7 3 4 2" xfId="967" xr:uid="{00000000-0005-0000-0000-0000DF060000}"/>
    <cellStyle name="Vírgula 7 3 4 2 2" xfId="1832" xr:uid="{00000000-0005-0000-0000-0000E0060000}"/>
    <cellStyle name="Vírgula 7 3 4 3" xfId="1831" xr:uid="{00000000-0005-0000-0000-0000E1060000}"/>
    <cellStyle name="Vírgula 7 3 5" xfId="614" xr:uid="{00000000-0005-0000-0000-0000E2060000}"/>
    <cellStyle name="Vírgula 7 3 5 2" xfId="1080" xr:uid="{00000000-0005-0000-0000-0000E3060000}"/>
    <cellStyle name="Vírgula 7 3 5 2 2" xfId="1834" xr:uid="{00000000-0005-0000-0000-0000E4060000}"/>
    <cellStyle name="Vírgula 7 3 5 3" xfId="1833" xr:uid="{00000000-0005-0000-0000-0000E5060000}"/>
    <cellStyle name="Vírgula 7 3 6" xfId="289" xr:uid="{00000000-0005-0000-0000-0000E6060000}"/>
    <cellStyle name="Vírgula 7 3 6 2" xfId="911" xr:uid="{00000000-0005-0000-0000-0000E7060000}"/>
    <cellStyle name="Vírgula 7 3 6 2 2" xfId="1836" xr:uid="{00000000-0005-0000-0000-0000E8060000}"/>
    <cellStyle name="Vírgula 7 3 6 3" xfId="1835" xr:uid="{00000000-0005-0000-0000-0000E9060000}"/>
    <cellStyle name="Vírgula 7 3 7" xfId="764" xr:uid="{00000000-0005-0000-0000-0000EA060000}"/>
    <cellStyle name="Vírgula 7 3 7 2" xfId="1837" xr:uid="{00000000-0005-0000-0000-0000EB060000}"/>
    <cellStyle name="Vírgula 7 3 8" xfId="1230" xr:uid="{00000000-0005-0000-0000-0000EC060000}"/>
    <cellStyle name="Vírgula 7 4" xfId="181" xr:uid="{00000000-0005-0000-0000-0000ED060000}"/>
    <cellStyle name="Vírgula 7 4 2" xfId="303" xr:uid="{00000000-0005-0000-0000-0000EE060000}"/>
    <cellStyle name="Vírgula 7 4 2 2" xfId="570" xr:uid="{00000000-0005-0000-0000-0000EF060000}"/>
    <cellStyle name="Vírgula 7 4 2 2 2" xfId="711" xr:uid="{00000000-0005-0000-0000-0000F0060000}"/>
    <cellStyle name="Vírgula 7 4 2 2 2 2" xfId="1176" xr:uid="{00000000-0005-0000-0000-0000F1060000}"/>
    <cellStyle name="Vírgula 7 4 2 2 2 2 2" xfId="1841" xr:uid="{00000000-0005-0000-0000-0000F2060000}"/>
    <cellStyle name="Vírgula 7 4 2 2 2 3" xfId="1840" xr:uid="{00000000-0005-0000-0000-0000F3060000}"/>
    <cellStyle name="Vírgula 7 4 2 2 3" xfId="717" xr:uid="{00000000-0005-0000-0000-0000F4060000}"/>
    <cellStyle name="Vírgula 7 4 2 2 3 2" xfId="1180" xr:uid="{00000000-0005-0000-0000-0000F5060000}"/>
    <cellStyle name="Vírgula 7 4 2 2 3 2 2" xfId="1843" xr:uid="{00000000-0005-0000-0000-0000F6060000}"/>
    <cellStyle name="Vírgula 7 4 2 2 3 3" xfId="1842" xr:uid="{00000000-0005-0000-0000-0000F7060000}"/>
    <cellStyle name="Vírgula 7 4 2 2 4" xfId="864" xr:uid="{00000000-0005-0000-0000-0000F8060000}"/>
    <cellStyle name="Vírgula 7 4 2 2 4 2" xfId="1844" xr:uid="{00000000-0005-0000-0000-0000F9060000}"/>
    <cellStyle name="Vírgula 7 4 2 2 5" xfId="1839" xr:uid="{00000000-0005-0000-0000-0000FA060000}"/>
    <cellStyle name="Vírgula 7 4 2 3" xfId="414" xr:uid="{00000000-0005-0000-0000-0000FB060000}"/>
    <cellStyle name="Vírgula 7 4 2 3 2" xfId="974" xr:uid="{00000000-0005-0000-0000-0000FC060000}"/>
    <cellStyle name="Vírgula 7 4 2 3 2 2" xfId="1846" xr:uid="{00000000-0005-0000-0000-0000FD060000}"/>
    <cellStyle name="Vírgula 7 4 2 3 3" xfId="1845" xr:uid="{00000000-0005-0000-0000-0000FE060000}"/>
    <cellStyle name="Vírgula 7 4 2 4" xfId="621" xr:uid="{00000000-0005-0000-0000-0000FF060000}"/>
    <cellStyle name="Vírgula 7 4 2 4 2" xfId="1087" xr:uid="{00000000-0005-0000-0000-000000070000}"/>
    <cellStyle name="Vírgula 7 4 2 4 2 2" xfId="1848" xr:uid="{00000000-0005-0000-0000-000001070000}"/>
    <cellStyle name="Vírgula 7 4 2 4 3" xfId="1847" xr:uid="{00000000-0005-0000-0000-000002070000}"/>
    <cellStyle name="Vírgula 7 4 2 5" xfId="772" xr:uid="{00000000-0005-0000-0000-000003070000}"/>
    <cellStyle name="Vírgula 7 4 2 5 2" xfId="1849" xr:uid="{00000000-0005-0000-0000-000004070000}"/>
    <cellStyle name="Vírgula 7 4 2 6" xfId="1838" xr:uid="{00000000-0005-0000-0000-000005070000}"/>
    <cellStyle name="Vírgula 7 4 3" xfId="564" xr:uid="{00000000-0005-0000-0000-000006070000}"/>
    <cellStyle name="Vírgula 7 4 3 2" xfId="705" xr:uid="{00000000-0005-0000-0000-000007070000}"/>
    <cellStyle name="Vírgula 7 4 3 2 2" xfId="1170" xr:uid="{00000000-0005-0000-0000-000008070000}"/>
    <cellStyle name="Vírgula 7 4 3 2 2 2" xfId="1852" xr:uid="{00000000-0005-0000-0000-000009070000}"/>
    <cellStyle name="Vírgula 7 4 3 2 3" xfId="1851" xr:uid="{00000000-0005-0000-0000-00000A070000}"/>
    <cellStyle name="Vírgula 7 4 3 3" xfId="858" xr:uid="{00000000-0005-0000-0000-00000B070000}"/>
    <cellStyle name="Vírgula 7 4 3 3 2" xfId="1853" xr:uid="{00000000-0005-0000-0000-00000C070000}"/>
    <cellStyle name="Vírgula 7 4 3 4" xfId="1850" xr:uid="{00000000-0005-0000-0000-00000D070000}"/>
    <cellStyle name="Vírgula 7 4 4" xfId="412" xr:uid="{00000000-0005-0000-0000-00000E070000}"/>
    <cellStyle name="Vírgula 7 4 4 2" xfId="972" xr:uid="{00000000-0005-0000-0000-00000F070000}"/>
    <cellStyle name="Vírgula 7 4 4 2 2" xfId="1855" xr:uid="{00000000-0005-0000-0000-000010070000}"/>
    <cellStyle name="Vírgula 7 4 4 3" xfId="1854" xr:uid="{00000000-0005-0000-0000-000011070000}"/>
    <cellStyle name="Vírgula 7 4 5" xfId="619" xr:uid="{00000000-0005-0000-0000-000012070000}"/>
    <cellStyle name="Vírgula 7 4 5 2" xfId="1085" xr:uid="{00000000-0005-0000-0000-000013070000}"/>
    <cellStyle name="Vírgula 7 4 5 2 2" xfId="1857" xr:uid="{00000000-0005-0000-0000-000014070000}"/>
    <cellStyle name="Vírgula 7 4 5 3" xfId="1856" xr:uid="{00000000-0005-0000-0000-000015070000}"/>
    <cellStyle name="Vírgula 7 4 6" xfId="296" xr:uid="{00000000-0005-0000-0000-000016070000}"/>
    <cellStyle name="Vírgula 7 4 6 2" xfId="921" xr:uid="{00000000-0005-0000-0000-000017070000}"/>
    <cellStyle name="Vírgula 7 4 6 2 2" xfId="1859" xr:uid="{00000000-0005-0000-0000-000018070000}"/>
    <cellStyle name="Vírgula 7 4 6 3" xfId="1858" xr:uid="{00000000-0005-0000-0000-000019070000}"/>
    <cellStyle name="Vírgula 7 4 7" xfId="770" xr:uid="{00000000-0005-0000-0000-00001A070000}"/>
    <cellStyle name="Vírgula 7 4 7 2" xfId="1860" xr:uid="{00000000-0005-0000-0000-00001B070000}"/>
    <cellStyle name="Vírgula 7 4 8" xfId="1235" xr:uid="{00000000-0005-0000-0000-00001C070000}"/>
    <cellStyle name="Vírgula 7 5" xfId="304" xr:uid="{00000000-0005-0000-0000-00001D070000}"/>
    <cellStyle name="Vírgula 7 5 2" xfId="569" xr:uid="{00000000-0005-0000-0000-00001E070000}"/>
    <cellStyle name="Vírgula 7 5 2 2" xfId="710" xr:uid="{00000000-0005-0000-0000-00001F070000}"/>
    <cellStyle name="Vírgula 7 5 2 2 2" xfId="1175" xr:uid="{00000000-0005-0000-0000-000020070000}"/>
    <cellStyle name="Vírgula 7 5 2 2 2 2" xfId="1864" xr:uid="{00000000-0005-0000-0000-000021070000}"/>
    <cellStyle name="Vírgula 7 5 2 2 3" xfId="1863" xr:uid="{00000000-0005-0000-0000-000022070000}"/>
    <cellStyle name="Vírgula 7 5 2 3" xfId="863" xr:uid="{00000000-0005-0000-0000-000023070000}"/>
    <cellStyle name="Vírgula 7 5 2 3 2" xfId="1865" xr:uid="{00000000-0005-0000-0000-000024070000}"/>
    <cellStyle name="Vírgula 7 5 2 4" xfId="1862" xr:uid="{00000000-0005-0000-0000-000025070000}"/>
    <cellStyle name="Vírgula 7 5 3" xfId="517" xr:uid="{00000000-0005-0000-0000-000026070000}"/>
    <cellStyle name="Vírgula 7 5 3 2" xfId="1040" xr:uid="{00000000-0005-0000-0000-000027070000}"/>
    <cellStyle name="Vírgula 7 5 3 2 2" xfId="1867" xr:uid="{00000000-0005-0000-0000-000028070000}"/>
    <cellStyle name="Vírgula 7 5 3 3" xfId="1866" xr:uid="{00000000-0005-0000-0000-000029070000}"/>
    <cellStyle name="Vírgula 7 5 4" xfId="660" xr:uid="{00000000-0005-0000-0000-00002A070000}"/>
    <cellStyle name="Vírgula 7 5 4 2" xfId="1125" xr:uid="{00000000-0005-0000-0000-00002B070000}"/>
    <cellStyle name="Vírgula 7 5 4 2 2" xfId="1869" xr:uid="{00000000-0005-0000-0000-00002C070000}"/>
    <cellStyle name="Vírgula 7 5 4 3" xfId="1868" xr:uid="{00000000-0005-0000-0000-00002D070000}"/>
    <cellStyle name="Vírgula 7 5 5" xfId="813" xr:uid="{00000000-0005-0000-0000-00002E070000}"/>
    <cellStyle name="Vírgula 7 5 5 2" xfId="1870" xr:uid="{00000000-0005-0000-0000-00002F070000}"/>
    <cellStyle name="Vírgula 7 5 6" xfId="1861" xr:uid="{00000000-0005-0000-0000-000030070000}"/>
    <cellStyle name="Vírgula 7 6" xfId="561" xr:uid="{00000000-0005-0000-0000-000031070000}"/>
    <cellStyle name="Vírgula 7 6 2" xfId="702" xr:uid="{00000000-0005-0000-0000-000032070000}"/>
    <cellStyle name="Vírgula 7 6 2 2" xfId="1167" xr:uid="{00000000-0005-0000-0000-000033070000}"/>
    <cellStyle name="Vírgula 7 6 2 2 2" xfId="1873" xr:uid="{00000000-0005-0000-0000-000034070000}"/>
    <cellStyle name="Vírgula 7 6 2 3" xfId="1872" xr:uid="{00000000-0005-0000-0000-000035070000}"/>
    <cellStyle name="Vírgula 7 6 3" xfId="855" xr:uid="{00000000-0005-0000-0000-000036070000}"/>
    <cellStyle name="Vírgula 7 6 3 2" xfId="1874" xr:uid="{00000000-0005-0000-0000-000037070000}"/>
    <cellStyle name="Vírgula 7 6 4" xfId="1871" xr:uid="{00000000-0005-0000-0000-000038070000}"/>
    <cellStyle name="Vírgula 7 7" xfId="403" xr:uid="{00000000-0005-0000-0000-000039070000}"/>
    <cellStyle name="Vírgula 7 7 2" xfId="965" xr:uid="{00000000-0005-0000-0000-00003A070000}"/>
    <cellStyle name="Vírgula 7 7 2 2" xfId="1876" xr:uid="{00000000-0005-0000-0000-00003B070000}"/>
    <cellStyle name="Vírgula 7 7 3" xfId="1875" xr:uid="{00000000-0005-0000-0000-00003C070000}"/>
    <cellStyle name="Vírgula 7 8" xfId="612" xr:uid="{00000000-0005-0000-0000-00003D070000}"/>
    <cellStyle name="Vírgula 7 8 2" xfId="1078" xr:uid="{00000000-0005-0000-0000-00003E070000}"/>
    <cellStyle name="Vírgula 7 8 2 2" xfId="1878" xr:uid="{00000000-0005-0000-0000-00003F070000}"/>
    <cellStyle name="Vírgula 7 8 3" xfId="1877" xr:uid="{00000000-0005-0000-0000-000040070000}"/>
    <cellStyle name="Vírgula 7 9" xfId="287" xr:uid="{00000000-0005-0000-0000-000041070000}"/>
    <cellStyle name="Vírgula 7 9 2" xfId="909" xr:uid="{00000000-0005-0000-0000-000042070000}"/>
    <cellStyle name="Vírgula 7 9 2 2" xfId="1880" xr:uid="{00000000-0005-0000-0000-000043070000}"/>
    <cellStyle name="Vírgula 7 9 3" xfId="1879" xr:uid="{00000000-0005-0000-0000-000044070000}"/>
    <cellStyle name="Vírgula 8" xfId="169" xr:uid="{00000000-0005-0000-0000-000045070000}"/>
    <cellStyle name="Vírgula 8 10" xfId="1231" xr:uid="{00000000-0005-0000-0000-000046070000}"/>
    <cellStyle name="Vírgula 8 2" xfId="170" xr:uid="{00000000-0005-0000-0000-000047070000}"/>
    <cellStyle name="Vírgula 8 2 2" xfId="521" xr:uid="{00000000-0005-0000-0000-000048070000}"/>
    <cellStyle name="Vírgula 8 2 2 2" xfId="664" xr:uid="{00000000-0005-0000-0000-000049070000}"/>
    <cellStyle name="Vírgula 8 2 2 2 2" xfId="1129" xr:uid="{00000000-0005-0000-0000-00004A070000}"/>
    <cellStyle name="Vírgula 8 2 2 2 2 2" xfId="1883" xr:uid="{00000000-0005-0000-0000-00004B070000}"/>
    <cellStyle name="Vírgula 8 2 2 2 3" xfId="1882" xr:uid="{00000000-0005-0000-0000-00004C070000}"/>
    <cellStyle name="Vírgula 8 2 2 3" xfId="817" xr:uid="{00000000-0005-0000-0000-00004D070000}"/>
    <cellStyle name="Vírgula 8 2 2 3 2" xfId="1884" xr:uid="{00000000-0005-0000-0000-00004E070000}"/>
    <cellStyle name="Vírgula 8 2 2 4" xfId="1881" xr:uid="{00000000-0005-0000-0000-00004F070000}"/>
    <cellStyle name="Vírgula 8 2 3" xfId="566" xr:uid="{00000000-0005-0000-0000-000050070000}"/>
    <cellStyle name="Vírgula 8 2 3 2" xfId="707" xr:uid="{00000000-0005-0000-0000-000051070000}"/>
    <cellStyle name="Vírgula 8 2 3 2 2" xfId="1172" xr:uid="{00000000-0005-0000-0000-000052070000}"/>
    <cellStyle name="Vírgula 8 2 3 2 2 2" xfId="1887" xr:uid="{00000000-0005-0000-0000-000053070000}"/>
    <cellStyle name="Vírgula 8 2 3 2 3" xfId="1886" xr:uid="{00000000-0005-0000-0000-000054070000}"/>
    <cellStyle name="Vírgula 8 2 3 3" xfId="860" xr:uid="{00000000-0005-0000-0000-000055070000}"/>
    <cellStyle name="Vírgula 8 2 3 3 2" xfId="1888" xr:uid="{00000000-0005-0000-0000-000056070000}"/>
    <cellStyle name="Vírgula 8 2 3 4" xfId="1885" xr:uid="{00000000-0005-0000-0000-000057070000}"/>
    <cellStyle name="Vírgula 8 2 4" xfId="407" xr:uid="{00000000-0005-0000-0000-000058070000}"/>
    <cellStyle name="Vírgula 8 2 4 2" xfId="969" xr:uid="{00000000-0005-0000-0000-000059070000}"/>
    <cellStyle name="Vírgula 8 2 4 2 2" xfId="1890" xr:uid="{00000000-0005-0000-0000-00005A070000}"/>
    <cellStyle name="Vírgula 8 2 4 3" xfId="1889" xr:uid="{00000000-0005-0000-0000-00005B070000}"/>
    <cellStyle name="Vírgula 8 2 5" xfId="616" xr:uid="{00000000-0005-0000-0000-00005C070000}"/>
    <cellStyle name="Vírgula 8 2 5 2" xfId="1082" xr:uid="{00000000-0005-0000-0000-00005D070000}"/>
    <cellStyle name="Vírgula 8 2 5 2 2" xfId="1892" xr:uid="{00000000-0005-0000-0000-00005E070000}"/>
    <cellStyle name="Vírgula 8 2 5 3" xfId="1891" xr:uid="{00000000-0005-0000-0000-00005F070000}"/>
    <cellStyle name="Vírgula 8 2 6" xfId="291" xr:uid="{00000000-0005-0000-0000-000060070000}"/>
    <cellStyle name="Vírgula 8 2 6 2" xfId="913" xr:uid="{00000000-0005-0000-0000-000061070000}"/>
    <cellStyle name="Vírgula 8 2 6 2 2" xfId="1894" xr:uid="{00000000-0005-0000-0000-000062070000}"/>
    <cellStyle name="Vírgula 8 2 6 3" xfId="1893" xr:uid="{00000000-0005-0000-0000-000063070000}"/>
    <cellStyle name="Vírgula 8 2 7" xfId="766" xr:uid="{00000000-0005-0000-0000-000064070000}"/>
    <cellStyle name="Vírgula 8 2 7 2" xfId="1895" xr:uid="{00000000-0005-0000-0000-000065070000}"/>
    <cellStyle name="Vírgula 8 2 8" xfId="1232" xr:uid="{00000000-0005-0000-0000-000066070000}"/>
    <cellStyle name="Vírgula 8 3" xfId="171" xr:uid="{00000000-0005-0000-0000-000067070000}"/>
    <cellStyle name="Vírgula 8 3 2" xfId="522" xr:uid="{00000000-0005-0000-0000-000068070000}"/>
    <cellStyle name="Vírgula 8 3 2 2" xfId="665" xr:uid="{00000000-0005-0000-0000-000069070000}"/>
    <cellStyle name="Vírgula 8 3 2 2 2" xfId="1130" xr:uid="{00000000-0005-0000-0000-00006A070000}"/>
    <cellStyle name="Vírgula 8 3 2 2 2 2" xfId="1898" xr:uid="{00000000-0005-0000-0000-00006B070000}"/>
    <cellStyle name="Vírgula 8 3 2 2 3" xfId="1897" xr:uid="{00000000-0005-0000-0000-00006C070000}"/>
    <cellStyle name="Vírgula 8 3 2 3" xfId="818" xr:uid="{00000000-0005-0000-0000-00006D070000}"/>
    <cellStyle name="Vírgula 8 3 2 3 2" xfId="1899" xr:uid="{00000000-0005-0000-0000-00006E070000}"/>
    <cellStyle name="Vírgula 8 3 2 4" xfId="1896" xr:uid="{00000000-0005-0000-0000-00006F070000}"/>
    <cellStyle name="Vírgula 8 3 3" xfId="567" xr:uid="{00000000-0005-0000-0000-000070070000}"/>
    <cellStyle name="Vírgula 8 3 3 2" xfId="708" xr:uid="{00000000-0005-0000-0000-000071070000}"/>
    <cellStyle name="Vírgula 8 3 3 2 2" xfId="1173" xr:uid="{00000000-0005-0000-0000-000072070000}"/>
    <cellStyle name="Vírgula 8 3 3 2 2 2" xfId="1902" xr:uid="{00000000-0005-0000-0000-000073070000}"/>
    <cellStyle name="Vírgula 8 3 3 2 3" xfId="1901" xr:uid="{00000000-0005-0000-0000-000074070000}"/>
    <cellStyle name="Vírgula 8 3 3 3" xfId="861" xr:uid="{00000000-0005-0000-0000-000075070000}"/>
    <cellStyle name="Vírgula 8 3 3 3 2" xfId="1903" xr:uid="{00000000-0005-0000-0000-000076070000}"/>
    <cellStyle name="Vírgula 8 3 3 4" xfId="1900" xr:uid="{00000000-0005-0000-0000-000077070000}"/>
    <cellStyle name="Vírgula 8 3 4" xfId="408" xr:uid="{00000000-0005-0000-0000-000078070000}"/>
    <cellStyle name="Vírgula 8 3 4 2" xfId="970" xr:uid="{00000000-0005-0000-0000-000079070000}"/>
    <cellStyle name="Vírgula 8 3 4 2 2" xfId="1905" xr:uid="{00000000-0005-0000-0000-00007A070000}"/>
    <cellStyle name="Vírgula 8 3 4 3" xfId="1904" xr:uid="{00000000-0005-0000-0000-00007B070000}"/>
    <cellStyle name="Vírgula 8 3 5" xfId="617" xr:uid="{00000000-0005-0000-0000-00007C070000}"/>
    <cellStyle name="Vírgula 8 3 5 2" xfId="1083" xr:uid="{00000000-0005-0000-0000-00007D070000}"/>
    <cellStyle name="Vírgula 8 3 5 2 2" xfId="1907" xr:uid="{00000000-0005-0000-0000-00007E070000}"/>
    <cellStyle name="Vírgula 8 3 5 3" xfId="1906" xr:uid="{00000000-0005-0000-0000-00007F070000}"/>
    <cellStyle name="Vírgula 8 3 6" xfId="292" xr:uid="{00000000-0005-0000-0000-000080070000}"/>
    <cellStyle name="Vírgula 8 3 6 2" xfId="914" xr:uid="{00000000-0005-0000-0000-000081070000}"/>
    <cellStyle name="Vírgula 8 3 6 2 2" xfId="1909" xr:uid="{00000000-0005-0000-0000-000082070000}"/>
    <cellStyle name="Vírgula 8 3 6 3" xfId="1908" xr:uid="{00000000-0005-0000-0000-000083070000}"/>
    <cellStyle name="Vírgula 8 3 7" xfId="767" xr:uid="{00000000-0005-0000-0000-000084070000}"/>
    <cellStyle name="Vírgula 8 3 7 2" xfId="1910" xr:uid="{00000000-0005-0000-0000-000085070000}"/>
    <cellStyle name="Vírgula 8 3 8" xfId="1233" xr:uid="{00000000-0005-0000-0000-000086070000}"/>
    <cellStyle name="Vírgula 8 4" xfId="520" xr:uid="{00000000-0005-0000-0000-000087070000}"/>
    <cellStyle name="Vírgula 8 4 2" xfId="663" xr:uid="{00000000-0005-0000-0000-000088070000}"/>
    <cellStyle name="Vírgula 8 4 2 2" xfId="1128" xr:uid="{00000000-0005-0000-0000-000089070000}"/>
    <cellStyle name="Vírgula 8 4 2 2 2" xfId="1913" xr:uid="{00000000-0005-0000-0000-00008A070000}"/>
    <cellStyle name="Vírgula 8 4 2 3" xfId="1912" xr:uid="{00000000-0005-0000-0000-00008B070000}"/>
    <cellStyle name="Vírgula 8 4 3" xfId="816" xr:uid="{00000000-0005-0000-0000-00008C070000}"/>
    <cellStyle name="Vírgula 8 4 3 2" xfId="1914" xr:uid="{00000000-0005-0000-0000-00008D070000}"/>
    <cellStyle name="Vírgula 8 4 4" xfId="1911" xr:uid="{00000000-0005-0000-0000-00008E070000}"/>
    <cellStyle name="Vírgula 8 5" xfId="565" xr:uid="{00000000-0005-0000-0000-00008F070000}"/>
    <cellStyle name="Vírgula 8 5 2" xfId="706" xr:uid="{00000000-0005-0000-0000-000090070000}"/>
    <cellStyle name="Vírgula 8 5 2 2" xfId="1171" xr:uid="{00000000-0005-0000-0000-000091070000}"/>
    <cellStyle name="Vírgula 8 5 2 2 2" xfId="1917" xr:uid="{00000000-0005-0000-0000-000092070000}"/>
    <cellStyle name="Vírgula 8 5 2 3" xfId="1916" xr:uid="{00000000-0005-0000-0000-000093070000}"/>
    <cellStyle name="Vírgula 8 5 3" xfId="859" xr:uid="{00000000-0005-0000-0000-000094070000}"/>
    <cellStyle name="Vírgula 8 5 3 2" xfId="1918" xr:uid="{00000000-0005-0000-0000-000095070000}"/>
    <cellStyle name="Vírgula 8 5 4" xfId="1915" xr:uid="{00000000-0005-0000-0000-000096070000}"/>
    <cellStyle name="Vírgula 8 6" xfId="406" xr:uid="{00000000-0005-0000-0000-000097070000}"/>
    <cellStyle name="Vírgula 8 6 2" xfId="968" xr:uid="{00000000-0005-0000-0000-000098070000}"/>
    <cellStyle name="Vírgula 8 6 2 2" xfId="1920" xr:uid="{00000000-0005-0000-0000-000099070000}"/>
    <cellStyle name="Vírgula 8 6 3" xfId="1919" xr:uid="{00000000-0005-0000-0000-00009A070000}"/>
    <cellStyle name="Vírgula 8 7" xfId="615" xr:uid="{00000000-0005-0000-0000-00009B070000}"/>
    <cellStyle name="Vírgula 8 7 2" xfId="1081" xr:uid="{00000000-0005-0000-0000-00009C070000}"/>
    <cellStyle name="Vírgula 8 7 2 2" xfId="1922" xr:uid="{00000000-0005-0000-0000-00009D070000}"/>
    <cellStyle name="Vírgula 8 7 3" xfId="1921" xr:uid="{00000000-0005-0000-0000-00009E070000}"/>
    <cellStyle name="Vírgula 8 8" xfId="290" xr:uid="{00000000-0005-0000-0000-00009F070000}"/>
    <cellStyle name="Vírgula 8 8 2" xfId="912" xr:uid="{00000000-0005-0000-0000-0000A0070000}"/>
    <cellStyle name="Vírgula 8 8 2 2" xfId="1924" xr:uid="{00000000-0005-0000-0000-0000A1070000}"/>
    <cellStyle name="Vírgula 8 8 3" xfId="1923" xr:uid="{00000000-0005-0000-0000-0000A2070000}"/>
    <cellStyle name="Vírgula 8 9" xfId="765" xr:uid="{00000000-0005-0000-0000-0000A3070000}"/>
    <cellStyle name="Vírgula 8 9 2" xfId="1925" xr:uid="{00000000-0005-0000-0000-0000A4070000}"/>
    <cellStyle name="Vírgula 9" xfId="172" xr:uid="{00000000-0005-0000-0000-0000A5070000}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4" formatCode="0.0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vantGarde Bk BT"/>
        <scheme val="none"/>
      </font>
      <numFmt numFmtId="34" formatCode="_-&quot;R$&quot;\ * #,##0.00_-;\-&quot;R$&quot;\ * #,##0.00_-;_-&quot;R$&quot;\ * &quot;-&quot;??_-;_-@_-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vantGarde Bk BT"/>
        <scheme val="none"/>
      </font>
      <numFmt numFmtId="34" formatCode="_-&quot;R$&quot;\ * #,##0.00_-;\-&quot;R$&quot;\ * #,##0.00_-;_-&quot;R$&quot;\ * &quot;-&quot;??_-;_-@_-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&quot;R$&quot;\ * #,##0.00_-;\-&quot;R$&quot;\ * #,##0.00_-;_-&quot;R$&quot;\ * &quot;-&quot;??_-;_-@_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vantGarde Bk BT"/>
        <scheme val="none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vantGarde Bk BT"/>
        <scheme val="none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vantGarde Bk B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CURVA</a:t>
            </a:r>
            <a:r>
              <a:rPr lang="pt-BR" baseline="0"/>
              <a:t> ABC (SERVIÇOS)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'[4]Curva ABC'!$J$13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2DEF8D8-E9D6-4D56-BEE0-035AC259F8EC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9A8-4780-8840-6BF1DE9E2E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E1B862B-2AE6-412E-9FCF-17478B10149A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9A8-4780-8840-6BF1DE9E2E3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6801D77-8664-4390-A61C-F0C57FD15335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9A8-4780-8840-6BF1DE9E2E3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7A953D6-DD70-4A59-81C1-F58EF2E9FEA1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9A8-4780-8840-6BF1DE9E2E3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EC2630-6019-4F3F-AC9A-D857B042AF42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9A8-4780-8840-6BF1DE9E2E3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7FBACDC-B7E9-442B-A682-BB3090D262B5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9A8-4780-8840-6BF1DE9E2E3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06FB2F7-2218-48AB-B0EE-81C80ED3F4C4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9A8-4780-8840-6BF1DE9E2E3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2D0E31A-2135-4F95-AD1A-F4A2B0DC5800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9A8-4780-8840-6BF1DE9E2E3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98CB581-ADE8-4AA1-9B9D-057640A06FD0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9A8-4780-8840-6BF1DE9E2E3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F7271B9-1533-4E4B-94D5-471319876CA8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9A8-4780-8840-6BF1DE9E2E3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F78A6A4-CE64-4859-9FAF-9E121501B527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9A8-4780-8840-6BF1DE9E2E3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DA9AA24-0672-4531-A093-F1418A85E828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9A8-4780-8840-6BF1DE9E2E3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BD65B27-A5A2-48C0-B573-E80791134813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9A8-4780-8840-6BF1DE9E2E3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B65F408E-FE9D-4C18-A85B-C374E34CD4F2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9A8-4780-8840-6BF1DE9E2E3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00F43A0-868B-44FE-B4E0-B81C1593C2CA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9A8-4780-8840-6BF1DE9E2E3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B7EDA6FD-05A4-412D-AFDE-B622387DC667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9A8-4780-8840-6BF1DE9E2E3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C2EA65E-FCA6-4053-AD4C-D0E58059016F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9A8-4780-8840-6BF1DE9E2E3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A76210EE-5479-4643-8A51-ED1304AE6C99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9A8-4780-8840-6BF1DE9E2E3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5001DAE6-2C0B-4E5C-B2E8-A549A57049A9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9A8-4780-8840-6BF1DE9E2E3E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183469CA-8B15-44E7-A2A3-E5A5310CD34F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9A8-4780-8840-6BF1DE9E2E3E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520BA4C8-F282-417C-8D5C-D3033476CE4F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9A8-4780-8840-6BF1DE9E2E3E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93F0B6C1-1CE9-4DE1-8E96-F5B9FDD763CE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F9A8-4780-8840-6BF1DE9E2E3E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CD9346D1-F7B0-4EE3-B51A-BF67C8634714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F9A8-4780-8840-6BF1DE9E2E3E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600BA139-F2C0-454D-B591-9F1086809705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9A8-4780-8840-6BF1DE9E2E3E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A568B4B9-06BC-4CF2-A25B-6BCAD8B3099E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9A8-4780-8840-6BF1DE9E2E3E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10131AEA-1459-435B-95CC-C6643C995F87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9A8-4780-8840-6BF1DE9E2E3E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46CBA6EC-FD36-4582-B46C-827D3AEFB5D5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9A8-4780-8840-6BF1DE9E2E3E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D071A8DE-508E-41FE-B53D-BF6C3AA47455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9A8-4780-8840-6BF1DE9E2E3E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215C5542-D610-4FD7-BF5C-7ED2A7E625AB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F9A8-4780-8840-6BF1DE9E2E3E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263E7B7A-7F57-47E1-BFD1-6E69257FB434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F9A8-4780-8840-6BF1DE9E2E3E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66C36B86-61CF-46EA-B07D-09998AC91F64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F9A8-4780-8840-6BF1DE9E2E3E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EAB4CA54-866D-4083-9285-2B227D0FD60E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F9A8-4780-8840-6BF1DE9E2E3E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5DD97E3C-832E-4F3F-8631-F81EAC7FC83A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F9A8-4780-8840-6BF1DE9E2E3E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BB7437D2-99D2-4A5B-9D85-904786798B6F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F9A8-4780-8840-6BF1DE9E2E3E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7BD1FDF5-6C44-40E6-973B-3DCDDBB4E6D2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F9A8-4780-8840-6BF1DE9E2E3E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DD2E445E-FDE8-4501-9F53-E37D2910D5A3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F9A8-4780-8840-6BF1DE9E2E3E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140EE337-D7FE-467D-8161-313F6B6BE2FC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F9A8-4780-8840-6BF1DE9E2E3E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3EEFE1E2-4BED-4658-85D8-BD1DA5045CFF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F9A8-4780-8840-6BF1DE9E2E3E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9E27CD09-80A7-4C8D-A520-E855B74F40C0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F9A8-4780-8840-6BF1DE9E2E3E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324ED7C3-497F-46FC-9D69-BE440714B670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F9A8-4780-8840-6BF1DE9E2E3E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D02C9A9B-C74D-4FD5-B315-5D954C5893F0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F9A8-4780-8840-6BF1DE9E2E3E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EDC718E8-0B4F-486F-A3B1-F396CD5BD985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F9A8-4780-8840-6BF1DE9E2E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'[4]Curva ABC'!$J$14:$J$55</c:f>
              <c:numCache>
                <c:formatCode>General</c:formatCode>
                <c:ptCount val="42"/>
                <c:pt idx="0">
                  <c:v>0.11683541092164029</c:v>
                </c:pt>
                <c:pt idx="1">
                  <c:v>0.10078603887362775</c:v>
                </c:pt>
                <c:pt idx="2">
                  <c:v>9.7616737538204434E-2</c:v>
                </c:pt>
                <c:pt idx="3">
                  <c:v>8.2680927779695573E-2</c:v>
                </c:pt>
                <c:pt idx="4">
                  <c:v>7.7329524371553104E-2</c:v>
                </c:pt>
                <c:pt idx="5">
                  <c:v>5.2214466092549081E-2</c:v>
                </c:pt>
                <c:pt idx="6">
                  <c:v>4.1428987729053589E-2</c:v>
                </c:pt>
                <c:pt idx="7">
                  <c:v>4.1073751492202416E-2</c:v>
                </c:pt>
                <c:pt idx="8">
                  <c:v>3.912713550821547E-2</c:v>
                </c:pt>
                <c:pt idx="9">
                  <c:v>3.7087347655279213E-2</c:v>
                </c:pt>
                <c:pt idx="10">
                  <c:v>3.3630016367614195E-2</c:v>
                </c:pt>
                <c:pt idx="11">
                  <c:v>3.2165971508042478E-2</c:v>
                </c:pt>
                <c:pt idx="12">
                  <c:v>3.0208834074908875E-2</c:v>
                </c:pt>
                <c:pt idx="13">
                  <c:v>2.6259213055183122E-2</c:v>
                </c:pt>
                <c:pt idx="14">
                  <c:v>2.0492233533155657E-2</c:v>
                </c:pt>
                <c:pt idx="15">
                  <c:v>2.0200379520079522E-2</c:v>
                </c:pt>
                <c:pt idx="16">
                  <c:v>2.0164230525119824E-2</c:v>
                </c:pt>
                <c:pt idx="17">
                  <c:v>1.4258845353775593E-2</c:v>
                </c:pt>
                <c:pt idx="18">
                  <c:v>1.3919877221026682E-2</c:v>
                </c:pt>
                <c:pt idx="19">
                  <c:v>1.36709752282621E-2</c:v>
                </c:pt>
                <c:pt idx="20">
                  <c:v>1.3320851824128782E-2</c:v>
                </c:pt>
                <c:pt idx="21">
                  <c:v>1.1827630014212619E-2</c:v>
                </c:pt>
                <c:pt idx="22">
                  <c:v>8.2885145304698749E-3</c:v>
                </c:pt>
                <c:pt idx="23">
                  <c:v>8.2197448176739556E-3</c:v>
                </c:pt>
                <c:pt idx="24">
                  <c:v>7.1980022430123899E-3</c:v>
                </c:pt>
                <c:pt idx="25">
                  <c:v>6.1952320806674867E-3</c:v>
                </c:pt>
                <c:pt idx="26">
                  <c:v>5.3904891128037317E-3</c:v>
                </c:pt>
                <c:pt idx="27">
                  <c:v>5.1434674593444762E-3</c:v>
                </c:pt>
                <c:pt idx="28">
                  <c:v>4.9732228062847198E-3</c:v>
                </c:pt>
                <c:pt idx="29">
                  <c:v>4.2271506502287266E-3</c:v>
                </c:pt>
                <c:pt idx="30">
                  <c:v>3.6015469741611595E-3</c:v>
                </c:pt>
                <c:pt idx="31">
                  <c:v>2.8069029072855605E-3</c:v>
                </c:pt>
                <c:pt idx="32">
                  <c:v>2.0714578374158494E-3</c:v>
                </c:pt>
                <c:pt idx="33">
                  <c:v>1.2234036833058174E-3</c:v>
                </c:pt>
                <c:pt idx="34">
                  <c:v>1.0754695730148746E-3</c:v>
                </c:pt>
                <c:pt idx="35">
                  <c:v>1.0496941353463584E-3</c:v>
                </c:pt>
                <c:pt idx="36">
                  <c:v>9.5088124848107154E-4</c:v>
                </c:pt>
                <c:pt idx="37">
                  <c:v>3.9791360085969962E-4</c:v>
                </c:pt>
                <c:pt idx="38">
                  <c:v>2.8494535068465378E-4</c:v>
                </c:pt>
                <c:pt idx="39">
                  <c:v>2.7078998737489486E-4</c:v>
                </c:pt>
                <c:pt idx="40">
                  <c:v>2.5221899580880821E-4</c:v>
                </c:pt>
                <c:pt idx="41">
                  <c:v>7.9565818245599899E-5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'[4]Curva ABC'!$L$14:$L$55</c15:f>
                <c15:dlblRangeCache>
                  <c:ptCount val="42"/>
                  <c:pt idx="0">
                    <c:v>A</c:v>
                  </c:pt>
                  <c:pt idx="1">
                    <c:v>A</c:v>
                  </c:pt>
                  <c:pt idx="2">
                    <c:v>A</c:v>
                  </c:pt>
                  <c:pt idx="3">
                    <c:v>A</c:v>
                  </c:pt>
                  <c:pt idx="4">
                    <c:v>A</c:v>
                  </c:pt>
                  <c:pt idx="5">
                    <c:v>A</c:v>
                  </c:pt>
                  <c:pt idx="6">
                    <c:v>A</c:v>
                  </c:pt>
                  <c:pt idx="7">
                    <c:v>A</c:v>
                  </c:pt>
                  <c:pt idx="8">
                    <c:v>A</c:v>
                  </c:pt>
                  <c:pt idx="9">
                    <c:v>A</c:v>
                  </c:pt>
                  <c:pt idx="10">
                    <c:v>A</c:v>
                  </c:pt>
                  <c:pt idx="11">
                    <c:v>A</c:v>
                  </c:pt>
                  <c:pt idx="12">
                    <c:v>A</c:v>
                  </c:pt>
                  <c:pt idx="13">
                    <c:v>B</c:v>
                  </c:pt>
                  <c:pt idx="14">
                    <c:v>B</c:v>
                  </c:pt>
                  <c:pt idx="15">
                    <c:v>B</c:v>
                  </c:pt>
                  <c:pt idx="16">
                    <c:v>B</c:v>
                  </c:pt>
                  <c:pt idx="17">
                    <c:v>B</c:v>
                  </c:pt>
                  <c:pt idx="18">
                    <c:v>B</c:v>
                  </c:pt>
                  <c:pt idx="19">
                    <c:v>B</c:v>
                  </c:pt>
                  <c:pt idx="20">
                    <c:v>B</c:v>
                  </c:pt>
                  <c:pt idx="21">
                    <c:v>B</c:v>
                  </c:pt>
                  <c:pt idx="22">
                    <c:v>B</c:v>
                  </c:pt>
                  <c:pt idx="23">
                    <c:v>C</c:v>
                  </c:pt>
                  <c:pt idx="24">
                    <c:v>C</c:v>
                  </c:pt>
                  <c:pt idx="25">
                    <c:v>C</c:v>
                  </c:pt>
                  <c:pt idx="26">
                    <c:v>C</c:v>
                  </c:pt>
                  <c:pt idx="27">
                    <c:v>C</c:v>
                  </c:pt>
                  <c:pt idx="28">
                    <c:v>C</c:v>
                  </c:pt>
                  <c:pt idx="29">
                    <c:v>C</c:v>
                  </c:pt>
                  <c:pt idx="30">
                    <c:v>C</c:v>
                  </c:pt>
                  <c:pt idx="31">
                    <c:v>C</c:v>
                  </c:pt>
                  <c:pt idx="32">
                    <c:v>C</c:v>
                  </c:pt>
                  <c:pt idx="33">
                    <c:v>C</c:v>
                  </c:pt>
                  <c:pt idx="34">
                    <c:v>C</c:v>
                  </c:pt>
                  <c:pt idx="35">
                    <c:v>C</c:v>
                  </c:pt>
                  <c:pt idx="36">
                    <c:v>C</c:v>
                  </c:pt>
                  <c:pt idx="37">
                    <c:v>C</c:v>
                  </c:pt>
                  <c:pt idx="38">
                    <c:v>C</c:v>
                  </c:pt>
                  <c:pt idx="39">
                    <c:v>C</c:v>
                  </c:pt>
                  <c:pt idx="40">
                    <c:v>C</c:v>
                  </c:pt>
                  <c:pt idx="41">
                    <c:v>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A-F9A8-4780-8840-6BF1DE9E2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4857167"/>
        <c:axId val="1284854671"/>
      </c:barChart>
      <c:lineChart>
        <c:grouping val="standard"/>
        <c:varyColors val="0"/>
        <c:ser>
          <c:idx val="1"/>
          <c:order val="0"/>
          <c:tx>
            <c:strRef>
              <c:f>'[4]Curva ABC'!$K$13</c:f>
              <c:strCache>
                <c:ptCount val="1"/>
                <c:pt idx="0">
                  <c:v>% ACUMULADO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'[4]Curva ABC'!$K$14:$K$55</c:f>
              <c:numCache>
                <c:formatCode>General</c:formatCode>
                <c:ptCount val="42"/>
                <c:pt idx="0">
                  <c:v>0.11683541092164029</c:v>
                </c:pt>
                <c:pt idx="1">
                  <c:v>0.21762144979526804</c:v>
                </c:pt>
                <c:pt idx="2">
                  <c:v>0.31523818733347247</c:v>
                </c:pt>
                <c:pt idx="3">
                  <c:v>0.39791911511316802</c:v>
                </c:pt>
                <c:pt idx="4">
                  <c:v>0.47524863948472112</c:v>
                </c:pt>
                <c:pt idx="5">
                  <c:v>0.52746310557727016</c:v>
                </c:pt>
                <c:pt idx="6">
                  <c:v>0.56889209330632373</c:v>
                </c:pt>
                <c:pt idx="7">
                  <c:v>0.60996584479852611</c:v>
                </c:pt>
                <c:pt idx="8">
                  <c:v>0.64909298030674156</c:v>
                </c:pt>
                <c:pt idx="9">
                  <c:v>0.68618032796202078</c:v>
                </c:pt>
                <c:pt idx="10">
                  <c:v>0.71981034432963498</c:v>
                </c:pt>
                <c:pt idx="11">
                  <c:v>0.75197631583767743</c:v>
                </c:pt>
                <c:pt idx="12">
                  <c:v>0.78218514991258625</c:v>
                </c:pt>
                <c:pt idx="13">
                  <c:v>0.80844436296776934</c:v>
                </c:pt>
                <c:pt idx="14">
                  <c:v>0.82893659650092499</c:v>
                </c:pt>
                <c:pt idx="15">
                  <c:v>0.84913697602100446</c:v>
                </c:pt>
                <c:pt idx="16">
                  <c:v>0.86930120654612431</c:v>
                </c:pt>
                <c:pt idx="17">
                  <c:v>0.88356005189989995</c:v>
                </c:pt>
                <c:pt idx="18">
                  <c:v>0.89747992912092667</c:v>
                </c:pt>
                <c:pt idx="19">
                  <c:v>0.91115090434918877</c:v>
                </c:pt>
                <c:pt idx="20">
                  <c:v>0.92447175617331756</c:v>
                </c:pt>
                <c:pt idx="21">
                  <c:v>0.93629938618753017</c:v>
                </c:pt>
                <c:pt idx="22">
                  <c:v>0.94458790071800003</c:v>
                </c:pt>
                <c:pt idx="23">
                  <c:v>0.95280764553567399</c:v>
                </c:pt>
                <c:pt idx="24">
                  <c:v>0.96000564777868636</c:v>
                </c:pt>
                <c:pt idx="25">
                  <c:v>0.96620087985935388</c:v>
                </c:pt>
                <c:pt idx="26">
                  <c:v>0.97159136897215759</c:v>
                </c:pt>
                <c:pt idx="27">
                  <c:v>0.97673483643150205</c:v>
                </c:pt>
                <c:pt idx="28">
                  <c:v>0.98170805923778681</c:v>
                </c:pt>
                <c:pt idx="29">
                  <c:v>0.98593520988801553</c:v>
                </c:pt>
                <c:pt idx="30">
                  <c:v>0.98953675686217668</c:v>
                </c:pt>
                <c:pt idx="31">
                  <c:v>0.99234365976946226</c:v>
                </c:pt>
                <c:pt idx="32">
                  <c:v>0.99441511760687806</c:v>
                </c:pt>
                <c:pt idx="33">
                  <c:v>0.99563852129018393</c:v>
                </c:pt>
                <c:pt idx="34">
                  <c:v>0.99671399086319878</c:v>
                </c:pt>
                <c:pt idx="35">
                  <c:v>0.99776368499854518</c:v>
                </c:pt>
                <c:pt idx="36">
                  <c:v>0.99871456624702626</c:v>
                </c:pt>
                <c:pt idx="37">
                  <c:v>0.99911247984788598</c:v>
                </c:pt>
                <c:pt idx="38">
                  <c:v>0.99939742519857067</c:v>
                </c:pt>
                <c:pt idx="39">
                  <c:v>0.99966821518594551</c:v>
                </c:pt>
                <c:pt idx="40">
                  <c:v>0.99992043418175436</c:v>
                </c:pt>
                <c:pt idx="4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F9A8-4780-8840-6BF1DE9E2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857167"/>
        <c:axId val="1284854671"/>
      </c:lineChart>
      <c:catAx>
        <c:axId val="1284857167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4854671"/>
        <c:crosses val="autoZero"/>
        <c:auto val="1"/>
        <c:lblAlgn val="ctr"/>
        <c:lblOffset val="100"/>
        <c:noMultiLvlLbl val="0"/>
      </c:catAx>
      <c:valAx>
        <c:axId val="128485467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485716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136071</xdr:colOff>
      <xdr:row>0</xdr:row>
      <xdr:rowOff>28576</xdr:rowOff>
    </xdr:from>
    <xdr:to>
      <xdr:col>9</xdr:col>
      <xdr:colOff>749300</xdr:colOff>
      <xdr:row>6</xdr:row>
      <xdr:rowOff>53340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434"/>
        <a:stretch/>
      </xdr:blipFill>
      <xdr:spPr bwMode="auto">
        <a:xfrm>
          <a:off x="10491651" y="28576"/>
          <a:ext cx="2022929" cy="117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74520</xdr:colOff>
      <xdr:row>0</xdr:row>
      <xdr:rowOff>132791</xdr:rowOff>
    </xdr:from>
    <xdr:to>
      <xdr:col>8</xdr:col>
      <xdr:colOff>1056714</xdr:colOff>
      <xdr:row>6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518"/>
        <a:stretch/>
      </xdr:blipFill>
      <xdr:spPr bwMode="auto">
        <a:xfrm>
          <a:off x="9005160" y="132791"/>
          <a:ext cx="1904214" cy="1337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554935</xdr:colOff>
      <xdr:row>0</xdr:row>
      <xdr:rowOff>1</xdr:rowOff>
    </xdr:from>
    <xdr:to>
      <xdr:col>3</xdr:col>
      <xdr:colOff>112229</xdr:colOff>
      <xdr:row>7</xdr:row>
      <xdr:rowOff>59636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652"/>
        <a:stretch/>
      </xdr:blipFill>
      <xdr:spPr bwMode="auto">
        <a:xfrm>
          <a:off x="1164535" y="1"/>
          <a:ext cx="194268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554935</xdr:colOff>
      <xdr:row>0</xdr:row>
      <xdr:rowOff>1</xdr:rowOff>
    </xdr:from>
    <xdr:to>
      <xdr:col>3</xdr:col>
      <xdr:colOff>112229</xdr:colOff>
      <xdr:row>7</xdr:row>
      <xdr:rowOff>59636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3E7502-85D2-46C6-A5BF-6BEA5782AA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652"/>
        <a:stretch/>
      </xdr:blipFill>
      <xdr:spPr bwMode="auto">
        <a:xfrm>
          <a:off x="1164535" y="1"/>
          <a:ext cx="194268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151280</xdr:colOff>
      <xdr:row>0</xdr:row>
      <xdr:rowOff>25213</xdr:rowOff>
    </xdr:from>
    <xdr:to>
      <xdr:col>7</xdr:col>
      <xdr:colOff>904315</xdr:colOff>
      <xdr:row>4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D36B7B0-7249-48CE-B633-370B6C5D1C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816"/>
        <a:stretch/>
      </xdr:blipFill>
      <xdr:spPr bwMode="auto">
        <a:xfrm>
          <a:off x="7511304" y="25213"/>
          <a:ext cx="1541929" cy="960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106242</xdr:colOff>
      <xdr:row>65</xdr:row>
      <xdr:rowOff>203690</xdr:rowOff>
    </xdr:from>
    <xdr:to>
      <xdr:col>4</xdr:col>
      <xdr:colOff>973017</xdr:colOff>
      <xdr:row>65</xdr:row>
      <xdr:rowOff>279890</xdr:rowOff>
    </xdr:to>
    <xdr:sp macro="" textlink="">
      <xdr:nvSpPr>
        <xdr:cNvPr id="14" name="Retângulo de cantos arredondados 33">
          <a:extLst>
            <a:ext uri="{FF2B5EF4-FFF2-40B4-BE49-F238E27FC236}">
              <a16:creationId xmlns:a16="http://schemas.microsoft.com/office/drawing/2014/main" id="{A8461BA7-024D-4885-8A08-1E90E01DE907}"/>
            </a:ext>
          </a:extLst>
        </xdr:cNvPr>
        <xdr:cNvSpPr/>
      </xdr:nvSpPr>
      <xdr:spPr>
        <a:xfrm>
          <a:off x="7688142" y="18320240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97450</xdr:colOff>
      <xdr:row>67</xdr:row>
      <xdr:rowOff>216878</xdr:rowOff>
    </xdr:from>
    <xdr:to>
      <xdr:col>4</xdr:col>
      <xdr:colOff>964225</xdr:colOff>
      <xdr:row>67</xdr:row>
      <xdr:rowOff>293078</xdr:rowOff>
    </xdr:to>
    <xdr:sp macro="" textlink="">
      <xdr:nvSpPr>
        <xdr:cNvPr id="15" name="Retângulo de cantos arredondados 34">
          <a:extLst>
            <a:ext uri="{FF2B5EF4-FFF2-40B4-BE49-F238E27FC236}">
              <a16:creationId xmlns:a16="http://schemas.microsoft.com/office/drawing/2014/main" id="{BF7EE778-94A2-4AA8-91D1-B085BC3855EB}"/>
            </a:ext>
          </a:extLst>
        </xdr:cNvPr>
        <xdr:cNvSpPr/>
      </xdr:nvSpPr>
      <xdr:spPr>
        <a:xfrm>
          <a:off x="7679350" y="18962078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103312</xdr:colOff>
      <xdr:row>69</xdr:row>
      <xdr:rowOff>200759</xdr:rowOff>
    </xdr:from>
    <xdr:to>
      <xdr:col>4</xdr:col>
      <xdr:colOff>970087</xdr:colOff>
      <xdr:row>69</xdr:row>
      <xdr:rowOff>276959</xdr:rowOff>
    </xdr:to>
    <xdr:sp macro="" textlink="">
      <xdr:nvSpPr>
        <xdr:cNvPr id="16" name="Retângulo de cantos arredondados 35">
          <a:extLst>
            <a:ext uri="{FF2B5EF4-FFF2-40B4-BE49-F238E27FC236}">
              <a16:creationId xmlns:a16="http://schemas.microsoft.com/office/drawing/2014/main" id="{CBDD4578-36FF-40AE-A738-4A69D2FEEC7E}"/>
            </a:ext>
          </a:extLst>
        </xdr:cNvPr>
        <xdr:cNvSpPr/>
      </xdr:nvSpPr>
      <xdr:spPr>
        <a:xfrm>
          <a:off x="7685212" y="19574609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5</xdr:col>
      <xdr:colOff>112107</xdr:colOff>
      <xdr:row>130</xdr:row>
      <xdr:rowOff>158263</xdr:rowOff>
    </xdr:from>
    <xdr:to>
      <xdr:col>5</xdr:col>
      <xdr:colOff>978882</xdr:colOff>
      <xdr:row>130</xdr:row>
      <xdr:rowOff>234463</xdr:rowOff>
    </xdr:to>
    <xdr:sp macro="" textlink="">
      <xdr:nvSpPr>
        <xdr:cNvPr id="17" name="Retângulo de cantos arredondados 36">
          <a:extLst>
            <a:ext uri="{FF2B5EF4-FFF2-40B4-BE49-F238E27FC236}">
              <a16:creationId xmlns:a16="http://schemas.microsoft.com/office/drawing/2014/main" id="{7D226A48-F19F-4B15-941E-7238653FA599}"/>
            </a:ext>
          </a:extLst>
        </xdr:cNvPr>
        <xdr:cNvSpPr/>
      </xdr:nvSpPr>
      <xdr:spPr>
        <a:xfrm>
          <a:off x="8770332" y="38705938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5</xdr:col>
      <xdr:colOff>103307</xdr:colOff>
      <xdr:row>132</xdr:row>
      <xdr:rowOff>171452</xdr:rowOff>
    </xdr:from>
    <xdr:to>
      <xdr:col>5</xdr:col>
      <xdr:colOff>970082</xdr:colOff>
      <xdr:row>132</xdr:row>
      <xdr:rowOff>247652</xdr:rowOff>
    </xdr:to>
    <xdr:sp macro="" textlink="">
      <xdr:nvSpPr>
        <xdr:cNvPr id="18" name="Retângulo de cantos arredondados 37">
          <a:extLst>
            <a:ext uri="{FF2B5EF4-FFF2-40B4-BE49-F238E27FC236}">
              <a16:creationId xmlns:a16="http://schemas.microsoft.com/office/drawing/2014/main" id="{DE473855-1BB2-422D-AFE5-009391F5BA2F}"/>
            </a:ext>
          </a:extLst>
        </xdr:cNvPr>
        <xdr:cNvSpPr/>
      </xdr:nvSpPr>
      <xdr:spPr>
        <a:xfrm>
          <a:off x="8761532" y="39347777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111501</xdr:colOff>
      <xdr:row>61</xdr:row>
      <xdr:rowOff>180975</xdr:rowOff>
    </xdr:from>
    <xdr:to>
      <xdr:col>4</xdr:col>
      <xdr:colOff>978276</xdr:colOff>
      <xdr:row>61</xdr:row>
      <xdr:rowOff>257175</xdr:rowOff>
    </xdr:to>
    <xdr:sp macro="" textlink="">
      <xdr:nvSpPr>
        <xdr:cNvPr id="24" name="Retângulo de cantos arredondados 49">
          <a:extLst>
            <a:ext uri="{FF2B5EF4-FFF2-40B4-BE49-F238E27FC236}">
              <a16:creationId xmlns:a16="http://schemas.microsoft.com/office/drawing/2014/main" id="{4D80BBF6-A89C-4CDC-9EEC-546AC6E6E711}"/>
            </a:ext>
          </a:extLst>
        </xdr:cNvPr>
        <xdr:cNvSpPr/>
      </xdr:nvSpPr>
      <xdr:spPr>
        <a:xfrm>
          <a:off x="7693401" y="17040225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121026</xdr:colOff>
      <xdr:row>63</xdr:row>
      <xdr:rowOff>180975</xdr:rowOff>
    </xdr:from>
    <xdr:to>
      <xdr:col>4</xdr:col>
      <xdr:colOff>987801</xdr:colOff>
      <xdr:row>63</xdr:row>
      <xdr:rowOff>257175</xdr:rowOff>
    </xdr:to>
    <xdr:sp macro="" textlink="">
      <xdr:nvSpPr>
        <xdr:cNvPr id="25" name="Retângulo de cantos arredondados 50">
          <a:extLst>
            <a:ext uri="{FF2B5EF4-FFF2-40B4-BE49-F238E27FC236}">
              <a16:creationId xmlns:a16="http://schemas.microsoft.com/office/drawing/2014/main" id="{DAF02C22-8146-4000-A938-7E1EEA47977D}"/>
            </a:ext>
          </a:extLst>
        </xdr:cNvPr>
        <xdr:cNvSpPr/>
      </xdr:nvSpPr>
      <xdr:spPr>
        <a:xfrm>
          <a:off x="7702926" y="17668875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106242</xdr:colOff>
      <xdr:row>71</xdr:row>
      <xdr:rowOff>203690</xdr:rowOff>
    </xdr:from>
    <xdr:to>
      <xdr:col>4</xdr:col>
      <xdr:colOff>973017</xdr:colOff>
      <xdr:row>71</xdr:row>
      <xdr:rowOff>279890</xdr:rowOff>
    </xdr:to>
    <xdr:sp macro="" textlink="">
      <xdr:nvSpPr>
        <xdr:cNvPr id="26" name="Retângulo de cantos arredondados 51">
          <a:extLst>
            <a:ext uri="{FF2B5EF4-FFF2-40B4-BE49-F238E27FC236}">
              <a16:creationId xmlns:a16="http://schemas.microsoft.com/office/drawing/2014/main" id="{966757FF-873D-434E-9D6D-C0E35140492F}"/>
            </a:ext>
          </a:extLst>
        </xdr:cNvPr>
        <xdr:cNvSpPr/>
      </xdr:nvSpPr>
      <xdr:spPr>
        <a:xfrm>
          <a:off x="7688142" y="20206190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97450</xdr:colOff>
      <xdr:row>73</xdr:row>
      <xdr:rowOff>216878</xdr:rowOff>
    </xdr:from>
    <xdr:to>
      <xdr:col>4</xdr:col>
      <xdr:colOff>964225</xdr:colOff>
      <xdr:row>73</xdr:row>
      <xdr:rowOff>293078</xdr:rowOff>
    </xdr:to>
    <xdr:sp macro="" textlink="">
      <xdr:nvSpPr>
        <xdr:cNvPr id="27" name="Retângulo de cantos arredondados 52">
          <a:extLst>
            <a:ext uri="{FF2B5EF4-FFF2-40B4-BE49-F238E27FC236}">
              <a16:creationId xmlns:a16="http://schemas.microsoft.com/office/drawing/2014/main" id="{DBF6D45C-6D3B-43EE-BA19-287B1B8C726B}"/>
            </a:ext>
          </a:extLst>
        </xdr:cNvPr>
        <xdr:cNvSpPr/>
      </xdr:nvSpPr>
      <xdr:spPr>
        <a:xfrm>
          <a:off x="7679350" y="20848028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103312</xdr:colOff>
      <xdr:row>75</xdr:row>
      <xdr:rowOff>200759</xdr:rowOff>
    </xdr:from>
    <xdr:to>
      <xdr:col>4</xdr:col>
      <xdr:colOff>970087</xdr:colOff>
      <xdr:row>75</xdr:row>
      <xdr:rowOff>276959</xdr:rowOff>
    </xdr:to>
    <xdr:sp macro="" textlink="">
      <xdr:nvSpPr>
        <xdr:cNvPr id="28" name="Retângulo de cantos arredondados 53">
          <a:extLst>
            <a:ext uri="{FF2B5EF4-FFF2-40B4-BE49-F238E27FC236}">
              <a16:creationId xmlns:a16="http://schemas.microsoft.com/office/drawing/2014/main" id="{CE4F2533-FD92-4889-8DE2-62639B02294D}"/>
            </a:ext>
          </a:extLst>
        </xdr:cNvPr>
        <xdr:cNvSpPr/>
      </xdr:nvSpPr>
      <xdr:spPr>
        <a:xfrm>
          <a:off x="7685212" y="21460559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106242</xdr:colOff>
      <xdr:row>82</xdr:row>
      <xdr:rowOff>181279</xdr:rowOff>
    </xdr:from>
    <xdr:to>
      <xdr:col>4</xdr:col>
      <xdr:colOff>973017</xdr:colOff>
      <xdr:row>82</xdr:row>
      <xdr:rowOff>257479</xdr:rowOff>
    </xdr:to>
    <xdr:sp macro="" textlink="">
      <xdr:nvSpPr>
        <xdr:cNvPr id="29" name="Retângulo de cantos arredondados 54">
          <a:extLst>
            <a:ext uri="{FF2B5EF4-FFF2-40B4-BE49-F238E27FC236}">
              <a16:creationId xmlns:a16="http://schemas.microsoft.com/office/drawing/2014/main" id="{2C54CBCC-0D66-41B5-86CB-9908CDF14018}"/>
            </a:ext>
          </a:extLst>
        </xdr:cNvPr>
        <xdr:cNvSpPr/>
      </xdr:nvSpPr>
      <xdr:spPr>
        <a:xfrm>
          <a:off x="7688142" y="23641354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97450</xdr:colOff>
      <xdr:row>84</xdr:row>
      <xdr:rowOff>216878</xdr:rowOff>
    </xdr:from>
    <xdr:to>
      <xdr:col>4</xdr:col>
      <xdr:colOff>964225</xdr:colOff>
      <xdr:row>84</xdr:row>
      <xdr:rowOff>293078</xdr:rowOff>
    </xdr:to>
    <xdr:sp macro="" textlink="">
      <xdr:nvSpPr>
        <xdr:cNvPr id="30" name="Retângulo de cantos arredondados 55">
          <a:extLst>
            <a:ext uri="{FF2B5EF4-FFF2-40B4-BE49-F238E27FC236}">
              <a16:creationId xmlns:a16="http://schemas.microsoft.com/office/drawing/2014/main" id="{BF9AF197-7027-4138-81B2-CC1BA122CE73}"/>
            </a:ext>
          </a:extLst>
        </xdr:cNvPr>
        <xdr:cNvSpPr/>
      </xdr:nvSpPr>
      <xdr:spPr>
        <a:xfrm>
          <a:off x="7679350" y="24305603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103312</xdr:colOff>
      <xdr:row>86</xdr:row>
      <xdr:rowOff>200759</xdr:rowOff>
    </xdr:from>
    <xdr:to>
      <xdr:col>4</xdr:col>
      <xdr:colOff>970087</xdr:colOff>
      <xdr:row>86</xdr:row>
      <xdr:rowOff>276959</xdr:rowOff>
    </xdr:to>
    <xdr:sp macro="" textlink="">
      <xdr:nvSpPr>
        <xdr:cNvPr id="31" name="Retângulo de cantos arredondados 56">
          <a:extLst>
            <a:ext uri="{FF2B5EF4-FFF2-40B4-BE49-F238E27FC236}">
              <a16:creationId xmlns:a16="http://schemas.microsoft.com/office/drawing/2014/main" id="{7E1DFEC8-8881-4BC7-910D-524E7D056B9C}"/>
            </a:ext>
          </a:extLst>
        </xdr:cNvPr>
        <xdr:cNvSpPr/>
      </xdr:nvSpPr>
      <xdr:spPr>
        <a:xfrm>
          <a:off x="7685212" y="24918134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100296</xdr:colOff>
      <xdr:row>78</xdr:row>
      <xdr:rowOff>180975</xdr:rowOff>
    </xdr:from>
    <xdr:to>
      <xdr:col>4</xdr:col>
      <xdr:colOff>967071</xdr:colOff>
      <xdr:row>78</xdr:row>
      <xdr:rowOff>257175</xdr:rowOff>
    </xdr:to>
    <xdr:sp macro="" textlink="">
      <xdr:nvSpPr>
        <xdr:cNvPr id="32" name="Retângulo de cantos arredondados 57">
          <a:extLst>
            <a:ext uri="{FF2B5EF4-FFF2-40B4-BE49-F238E27FC236}">
              <a16:creationId xmlns:a16="http://schemas.microsoft.com/office/drawing/2014/main" id="{A34A327D-A5CC-4C2B-9936-9C3DDEA2355C}"/>
            </a:ext>
          </a:extLst>
        </xdr:cNvPr>
        <xdr:cNvSpPr/>
      </xdr:nvSpPr>
      <xdr:spPr>
        <a:xfrm>
          <a:off x="7682196" y="22383750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109821</xdr:colOff>
      <xdr:row>80</xdr:row>
      <xdr:rowOff>180975</xdr:rowOff>
    </xdr:from>
    <xdr:to>
      <xdr:col>4</xdr:col>
      <xdr:colOff>976596</xdr:colOff>
      <xdr:row>80</xdr:row>
      <xdr:rowOff>257175</xdr:rowOff>
    </xdr:to>
    <xdr:sp macro="" textlink="">
      <xdr:nvSpPr>
        <xdr:cNvPr id="33" name="Retângulo de cantos arredondados 58">
          <a:extLst>
            <a:ext uri="{FF2B5EF4-FFF2-40B4-BE49-F238E27FC236}">
              <a16:creationId xmlns:a16="http://schemas.microsoft.com/office/drawing/2014/main" id="{2F83CDD9-64AE-45FA-9C88-7F648CB9331B}"/>
            </a:ext>
          </a:extLst>
        </xdr:cNvPr>
        <xdr:cNvSpPr/>
      </xdr:nvSpPr>
      <xdr:spPr>
        <a:xfrm>
          <a:off x="7691721" y="23012400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106242</xdr:colOff>
      <xdr:row>88</xdr:row>
      <xdr:rowOff>203690</xdr:rowOff>
    </xdr:from>
    <xdr:to>
      <xdr:col>4</xdr:col>
      <xdr:colOff>973017</xdr:colOff>
      <xdr:row>88</xdr:row>
      <xdr:rowOff>279890</xdr:rowOff>
    </xdr:to>
    <xdr:sp macro="" textlink="">
      <xdr:nvSpPr>
        <xdr:cNvPr id="34" name="Retângulo de cantos arredondados 59">
          <a:extLst>
            <a:ext uri="{FF2B5EF4-FFF2-40B4-BE49-F238E27FC236}">
              <a16:creationId xmlns:a16="http://schemas.microsoft.com/office/drawing/2014/main" id="{5A8D140E-D827-437F-8410-23C25653BCA2}"/>
            </a:ext>
          </a:extLst>
        </xdr:cNvPr>
        <xdr:cNvSpPr/>
      </xdr:nvSpPr>
      <xdr:spPr>
        <a:xfrm>
          <a:off x="7688142" y="25549715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97450</xdr:colOff>
      <xdr:row>90</xdr:row>
      <xdr:rowOff>216878</xdr:rowOff>
    </xdr:from>
    <xdr:to>
      <xdr:col>4</xdr:col>
      <xdr:colOff>964225</xdr:colOff>
      <xdr:row>90</xdr:row>
      <xdr:rowOff>293078</xdr:rowOff>
    </xdr:to>
    <xdr:sp macro="" textlink="">
      <xdr:nvSpPr>
        <xdr:cNvPr id="35" name="Retângulo de cantos arredondados 60">
          <a:extLst>
            <a:ext uri="{FF2B5EF4-FFF2-40B4-BE49-F238E27FC236}">
              <a16:creationId xmlns:a16="http://schemas.microsoft.com/office/drawing/2014/main" id="{064CA8F6-91B4-4327-BCA6-FD5F99658BA6}"/>
            </a:ext>
          </a:extLst>
        </xdr:cNvPr>
        <xdr:cNvSpPr/>
      </xdr:nvSpPr>
      <xdr:spPr>
        <a:xfrm>
          <a:off x="7679350" y="26191553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103312</xdr:colOff>
      <xdr:row>92</xdr:row>
      <xdr:rowOff>200759</xdr:rowOff>
    </xdr:from>
    <xdr:to>
      <xdr:col>4</xdr:col>
      <xdr:colOff>970087</xdr:colOff>
      <xdr:row>92</xdr:row>
      <xdr:rowOff>276959</xdr:rowOff>
    </xdr:to>
    <xdr:sp macro="" textlink="">
      <xdr:nvSpPr>
        <xdr:cNvPr id="36" name="Retângulo de cantos arredondados 61">
          <a:extLst>
            <a:ext uri="{FF2B5EF4-FFF2-40B4-BE49-F238E27FC236}">
              <a16:creationId xmlns:a16="http://schemas.microsoft.com/office/drawing/2014/main" id="{CA551FE2-E2A1-4272-AD02-FBC2C351C6E9}"/>
            </a:ext>
          </a:extLst>
        </xdr:cNvPr>
        <xdr:cNvSpPr/>
      </xdr:nvSpPr>
      <xdr:spPr>
        <a:xfrm>
          <a:off x="7685212" y="26804084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103312</xdr:colOff>
      <xdr:row>94</xdr:row>
      <xdr:rowOff>200759</xdr:rowOff>
    </xdr:from>
    <xdr:to>
      <xdr:col>4</xdr:col>
      <xdr:colOff>970087</xdr:colOff>
      <xdr:row>94</xdr:row>
      <xdr:rowOff>276959</xdr:rowOff>
    </xdr:to>
    <xdr:sp macro="" textlink="">
      <xdr:nvSpPr>
        <xdr:cNvPr id="37" name="Retângulo de cantos arredondados 62">
          <a:extLst>
            <a:ext uri="{FF2B5EF4-FFF2-40B4-BE49-F238E27FC236}">
              <a16:creationId xmlns:a16="http://schemas.microsoft.com/office/drawing/2014/main" id="{DDBA5735-9279-472B-87FB-1696C9E9958B}"/>
            </a:ext>
          </a:extLst>
        </xdr:cNvPr>
        <xdr:cNvSpPr/>
      </xdr:nvSpPr>
      <xdr:spPr>
        <a:xfrm>
          <a:off x="7685212" y="27432734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106242</xdr:colOff>
      <xdr:row>96</xdr:row>
      <xdr:rowOff>203690</xdr:rowOff>
    </xdr:from>
    <xdr:to>
      <xdr:col>4</xdr:col>
      <xdr:colOff>973017</xdr:colOff>
      <xdr:row>96</xdr:row>
      <xdr:rowOff>279890</xdr:rowOff>
    </xdr:to>
    <xdr:sp macro="" textlink="">
      <xdr:nvSpPr>
        <xdr:cNvPr id="38" name="Retângulo de cantos arredondados 63">
          <a:extLst>
            <a:ext uri="{FF2B5EF4-FFF2-40B4-BE49-F238E27FC236}">
              <a16:creationId xmlns:a16="http://schemas.microsoft.com/office/drawing/2014/main" id="{EDB8494C-20C5-47DC-ABA7-4ECE851E4B8E}"/>
            </a:ext>
          </a:extLst>
        </xdr:cNvPr>
        <xdr:cNvSpPr/>
      </xdr:nvSpPr>
      <xdr:spPr>
        <a:xfrm>
          <a:off x="7688142" y="28064315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97450</xdr:colOff>
      <xdr:row>98</xdr:row>
      <xdr:rowOff>216878</xdr:rowOff>
    </xdr:from>
    <xdr:to>
      <xdr:col>4</xdr:col>
      <xdr:colOff>964225</xdr:colOff>
      <xdr:row>98</xdr:row>
      <xdr:rowOff>293078</xdr:rowOff>
    </xdr:to>
    <xdr:sp macro="" textlink="">
      <xdr:nvSpPr>
        <xdr:cNvPr id="39" name="Retângulo de cantos arredondados 64">
          <a:extLst>
            <a:ext uri="{FF2B5EF4-FFF2-40B4-BE49-F238E27FC236}">
              <a16:creationId xmlns:a16="http://schemas.microsoft.com/office/drawing/2014/main" id="{D18C859F-908A-44F3-BDDF-640E6552FDB8}"/>
            </a:ext>
          </a:extLst>
        </xdr:cNvPr>
        <xdr:cNvSpPr/>
      </xdr:nvSpPr>
      <xdr:spPr>
        <a:xfrm>
          <a:off x="7679350" y="28706153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103312</xdr:colOff>
      <xdr:row>100</xdr:row>
      <xdr:rowOff>200759</xdr:rowOff>
    </xdr:from>
    <xdr:to>
      <xdr:col>4</xdr:col>
      <xdr:colOff>970087</xdr:colOff>
      <xdr:row>100</xdr:row>
      <xdr:rowOff>276959</xdr:rowOff>
    </xdr:to>
    <xdr:sp macro="" textlink="">
      <xdr:nvSpPr>
        <xdr:cNvPr id="40" name="Retângulo de cantos arredondados 65">
          <a:extLst>
            <a:ext uri="{FF2B5EF4-FFF2-40B4-BE49-F238E27FC236}">
              <a16:creationId xmlns:a16="http://schemas.microsoft.com/office/drawing/2014/main" id="{7A585496-BB9F-42D0-8F25-A10D27A19F37}"/>
            </a:ext>
          </a:extLst>
        </xdr:cNvPr>
        <xdr:cNvSpPr/>
      </xdr:nvSpPr>
      <xdr:spPr>
        <a:xfrm>
          <a:off x="7685212" y="29318684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3</xdr:col>
      <xdr:colOff>66675</xdr:colOff>
      <xdr:row>103</xdr:row>
      <xdr:rowOff>180975</xdr:rowOff>
    </xdr:from>
    <xdr:to>
      <xdr:col>3</xdr:col>
      <xdr:colOff>933450</xdr:colOff>
      <xdr:row>103</xdr:row>
      <xdr:rowOff>257175</xdr:rowOff>
    </xdr:to>
    <xdr:sp macro="" textlink="">
      <xdr:nvSpPr>
        <xdr:cNvPr id="41" name="Retângulo de cantos arredondados 66">
          <a:extLst>
            <a:ext uri="{FF2B5EF4-FFF2-40B4-BE49-F238E27FC236}">
              <a16:creationId xmlns:a16="http://schemas.microsoft.com/office/drawing/2014/main" id="{DA381CA9-C6F5-4DEB-8C9E-F92B0EBB3B6A}"/>
            </a:ext>
          </a:extLst>
        </xdr:cNvPr>
        <xdr:cNvSpPr/>
      </xdr:nvSpPr>
      <xdr:spPr>
        <a:xfrm>
          <a:off x="6648450" y="30241875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64994</xdr:colOff>
      <xdr:row>105</xdr:row>
      <xdr:rowOff>192181</xdr:rowOff>
    </xdr:from>
    <xdr:to>
      <xdr:col>3</xdr:col>
      <xdr:colOff>931769</xdr:colOff>
      <xdr:row>105</xdr:row>
      <xdr:rowOff>268381</xdr:rowOff>
    </xdr:to>
    <xdr:sp macro="" textlink="">
      <xdr:nvSpPr>
        <xdr:cNvPr id="42" name="Retângulo de cantos arredondados 67">
          <a:extLst>
            <a:ext uri="{FF2B5EF4-FFF2-40B4-BE49-F238E27FC236}">
              <a16:creationId xmlns:a16="http://schemas.microsoft.com/office/drawing/2014/main" id="{1A6CB871-AA50-4852-813A-919B4CBBF58A}"/>
            </a:ext>
          </a:extLst>
        </xdr:cNvPr>
        <xdr:cNvSpPr/>
      </xdr:nvSpPr>
      <xdr:spPr>
        <a:xfrm>
          <a:off x="6646769" y="30881731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100297</xdr:colOff>
      <xdr:row>108</xdr:row>
      <xdr:rowOff>180975</xdr:rowOff>
    </xdr:from>
    <xdr:to>
      <xdr:col>4</xdr:col>
      <xdr:colOff>967072</xdr:colOff>
      <xdr:row>108</xdr:row>
      <xdr:rowOff>257175</xdr:rowOff>
    </xdr:to>
    <xdr:sp macro="" textlink="">
      <xdr:nvSpPr>
        <xdr:cNvPr id="43" name="Retângulo de cantos arredondados 68">
          <a:extLst>
            <a:ext uri="{FF2B5EF4-FFF2-40B4-BE49-F238E27FC236}">
              <a16:creationId xmlns:a16="http://schemas.microsoft.com/office/drawing/2014/main" id="{277FB5AD-850E-41F1-9395-2CECE7E6208A}"/>
            </a:ext>
          </a:extLst>
        </xdr:cNvPr>
        <xdr:cNvSpPr/>
      </xdr:nvSpPr>
      <xdr:spPr>
        <a:xfrm>
          <a:off x="7682197" y="31813500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98614</xdr:colOff>
      <xdr:row>110</xdr:row>
      <xdr:rowOff>180975</xdr:rowOff>
    </xdr:from>
    <xdr:to>
      <xdr:col>5</xdr:col>
      <xdr:colOff>965389</xdr:colOff>
      <xdr:row>110</xdr:row>
      <xdr:rowOff>257175</xdr:rowOff>
    </xdr:to>
    <xdr:sp macro="" textlink="">
      <xdr:nvSpPr>
        <xdr:cNvPr id="44" name="Retângulo de cantos arredondados 69">
          <a:extLst>
            <a:ext uri="{FF2B5EF4-FFF2-40B4-BE49-F238E27FC236}">
              <a16:creationId xmlns:a16="http://schemas.microsoft.com/office/drawing/2014/main" id="{054A061C-E4F6-4AEA-AA22-414C6734198E}"/>
            </a:ext>
          </a:extLst>
        </xdr:cNvPr>
        <xdr:cNvSpPr/>
      </xdr:nvSpPr>
      <xdr:spPr>
        <a:xfrm>
          <a:off x="8756839" y="32442150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5</xdr:col>
      <xdr:colOff>97452</xdr:colOff>
      <xdr:row>113</xdr:row>
      <xdr:rowOff>216878</xdr:rowOff>
    </xdr:from>
    <xdr:to>
      <xdr:col>5</xdr:col>
      <xdr:colOff>964227</xdr:colOff>
      <xdr:row>113</xdr:row>
      <xdr:rowOff>293078</xdr:rowOff>
    </xdr:to>
    <xdr:sp macro="" textlink="">
      <xdr:nvSpPr>
        <xdr:cNvPr id="45" name="Retângulo de cantos arredondados 70">
          <a:extLst>
            <a:ext uri="{FF2B5EF4-FFF2-40B4-BE49-F238E27FC236}">
              <a16:creationId xmlns:a16="http://schemas.microsoft.com/office/drawing/2014/main" id="{A60CC7DD-BB71-4434-BA9D-64F12EBAD260}"/>
            </a:ext>
          </a:extLst>
        </xdr:cNvPr>
        <xdr:cNvSpPr/>
      </xdr:nvSpPr>
      <xdr:spPr>
        <a:xfrm>
          <a:off x="8755677" y="33421028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5</xdr:col>
      <xdr:colOff>103314</xdr:colOff>
      <xdr:row>115</xdr:row>
      <xdr:rowOff>200759</xdr:rowOff>
    </xdr:from>
    <xdr:to>
      <xdr:col>5</xdr:col>
      <xdr:colOff>970089</xdr:colOff>
      <xdr:row>115</xdr:row>
      <xdr:rowOff>276959</xdr:rowOff>
    </xdr:to>
    <xdr:sp macro="" textlink="">
      <xdr:nvSpPr>
        <xdr:cNvPr id="46" name="Retângulo de cantos arredondados 71">
          <a:extLst>
            <a:ext uri="{FF2B5EF4-FFF2-40B4-BE49-F238E27FC236}">
              <a16:creationId xmlns:a16="http://schemas.microsoft.com/office/drawing/2014/main" id="{2AB82747-413E-4ED3-B9E2-6D0988B79645}"/>
            </a:ext>
          </a:extLst>
        </xdr:cNvPr>
        <xdr:cNvSpPr/>
      </xdr:nvSpPr>
      <xdr:spPr>
        <a:xfrm>
          <a:off x="8761539" y="34033559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5</xdr:col>
      <xdr:colOff>106244</xdr:colOff>
      <xdr:row>117</xdr:row>
      <xdr:rowOff>203690</xdr:rowOff>
    </xdr:from>
    <xdr:to>
      <xdr:col>5</xdr:col>
      <xdr:colOff>973019</xdr:colOff>
      <xdr:row>117</xdr:row>
      <xdr:rowOff>279890</xdr:rowOff>
    </xdr:to>
    <xdr:sp macro="" textlink="">
      <xdr:nvSpPr>
        <xdr:cNvPr id="47" name="Retângulo de cantos arredondados 72">
          <a:extLst>
            <a:ext uri="{FF2B5EF4-FFF2-40B4-BE49-F238E27FC236}">
              <a16:creationId xmlns:a16="http://schemas.microsoft.com/office/drawing/2014/main" id="{34069867-C20F-43F9-86BD-5E80C2F3028C}"/>
            </a:ext>
          </a:extLst>
        </xdr:cNvPr>
        <xdr:cNvSpPr/>
      </xdr:nvSpPr>
      <xdr:spPr>
        <a:xfrm>
          <a:off x="8764469" y="34665140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5</xdr:col>
      <xdr:colOff>97452</xdr:colOff>
      <xdr:row>119</xdr:row>
      <xdr:rowOff>216878</xdr:rowOff>
    </xdr:from>
    <xdr:to>
      <xdr:col>5</xdr:col>
      <xdr:colOff>964227</xdr:colOff>
      <xdr:row>119</xdr:row>
      <xdr:rowOff>293078</xdr:rowOff>
    </xdr:to>
    <xdr:sp macro="" textlink="">
      <xdr:nvSpPr>
        <xdr:cNvPr id="48" name="Retângulo de cantos arredondados 73">
          <a:extLst>
            <a:ext uri="{FF2B5EF4-FFF2-40B4-BE49-F238E27FC236}">
              <a16:creationId xmlns:a16="http://schemas.microsoft.com/office/drawing/2014/main" id="{5ED01C8C-6DFA-4985-933C-EB15D83144C7}"/>
            </a:ext>
          </a:extLst>
        </xdr:cNvPr>
        <xdr:cNvSpPr/>
      </xdr:nvSpPr>
      <xdr:spPr>
        <a:xfrm>
          <a:off x="8755677" y="35306978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5</xdr:col>
      <xdr:colOff>103314</xdr:colOff>
      <xdr:row>121</xdr:row>
      <xdr:rowOff>200759</xdr:rowOff>
    </xdr:from>
    <xdr:to>
      <xdr:col>5</xdr:col>
      <xdr:colOff>970089</xdr:colOff>
      <xdr:row>121</xdr:row>
      <xdr:rowOff>276959</xdr:rowOff>
    </xdr:to>
    <xdr:sp macro="" textlink="">
      <xdr:nvSpPr>
        <xdr:cNvPr id="49" name="Retângulo de cantos arredondados 74">
          <a:extLst>
            <a:ext uri="{FF2B5EF4-FFF2-40B4-BE49-F238E27FC236}">
              <a16:creationId xmlns:a16="http://schemas.microsoft.com/office/drawing/2014/main" id="{333DBEFC-0C8D-4020-833C-B3CA80B907DC}"/>
            </a:ext>
          </a:extLst>
        </xdr:cNvPr>
        <xdr:cNvSpPr/>
      </xdr:nvSpPr>
      <xdr:spPr>
        <a:xfrm>
          <a:off x="8761539" y="35919509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5</xdr:col>
      <xdr:colOff>103314</xdr:colOff>
      <xdr:row>123</xdr:row>
      <xdr:rowOff>200759</xdr:rowOff>
    </xdr:from>
    <xdr:to>
      <xdr:col>5</xdr:col>
      <xdr:colOff>970089</xdr:colOff>
      <xdr:row>123</xdr:row>
      <xdr:rowOff>276959</xdr:rowOff>
    </xdr:to>
    <xdr:sp macro="" textlink="">
      <xdr:nvSpPr>
        <xdr:cNvPr id="50" name="Retângulo de cantos arredondados 75">
          <a:extLst>
            <a:ext uri="{FF2B5EF4-FFF2-40B4-BE49-F238E27FC236}">
              <a16:creationId xmlns:a16="http://schemas.microsoft.com/office/drawing/2014/main" id="{A677224C-61F0-4AF9-A3CC-CC6295065CF0}"/>
            </a:ext>
          </a:extLst>
        </xdr:cNvPr>
        <xdr:cNvSpPr/>
      </xdr:nvSpPr>
      <xdr:spPr>
        <a:xfrm>
          <a:off x="8761539" y="36548159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5</xdr:col>
      <xdr:colOff>106244</xdr:colOff>
      <xdr:row>125</xdr:row>
      <xdr:rowOff>203690</xdr:rowOff>
    </xdr:from>
    <xdr:to>
      <xdr:col>5</xdr:col>
      <xdr:colOff>973019</xdr:colOff>
      <xdr:row>125</xdr:row>
      <xdr:rowOff>279890</xdr:rowOff>
    </xdr:to>
    <xdr:sp macro="" textlink="">
      <xdr:nvSpPr>
        <xdr:cNvPr id="51" name="Retângulo de cantos arredondados 76">
          <a:extLst>
            <a:ext uri="{FF2B5EF4-FFF2-40B4-BE49-F238E27FC236}">
              <a16:creationId xmlns:a16="http://schemas.microsoft.com/office/drawing/2014/main" id="{761FF081-F520-43AF-A9B1-4B39603C5614}"/>
            </a:ext>
          </a:extLst>
        </xdr:cNvPr>
        <xdr:cNvSpPr/>
      </xdr:nvSpPr>
      <xdr:spPr>
        <a:xfrm>
          <a:off x="8764469" y="37179740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5</xdr:col>
      <xdr:colOff>97452</xdr:colOff>
      <xdr:row>127</xdr:row>
      <xdr:rowOff>216878</xdr:rowOff>
    </xdr:from>
    <xdr:to>
      <xdr:col>5</xdr:col>
      <xdr:colOff>964227</xdr:colOff>
      <xdr:row>127</xdr:row>
      <xdr:rowOff>293078</xdr:rowOff>
    </xdr:to>
    <xdr:sp macro="" textlink="">
      <xdr:nvSpPr>
        <xdr:cNvPr id="52" name="Retângulo de cantos arredondados 77">
          <a:extLst>
            <a:ext uri="{FF2B5EF4-FFF2-40B4-BE49-F238E27FC236}">
              <a16:creationId xmlns:a16="http://schemas.microsoft.com/office/drawing/2014/main" id="{648D5ED0-AC7F-4CDF-B374-DD874305E4C1}"/>
            </a:ext>
          </a:extLst>
        </xdr:cNvPr>
        <xdr:cNvSpPr/>
      </xdr:nvSpPr>
      <xdr:spPr>
        <a:xfrm>
          <a:off x="8755677" y="37821578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105338</xdr:colOff>
      <xdr:row>110</xdr:row>
      <xdr:rowOff>176492</xdr:rowOff>
    </xdr:from>
    <xdr:to>
      <xdr:col>4</xdr:col>
      <xdr:colOff>972113</xdr:colOff>
      <xdr:row>110</xdr:row>
      <xdr:rowOff>252692</xdr:rowOff>
    </xdr:to>
    <xdr:sp macro="" textlink="">
      <xdr:nvSpPr>
        <xdr:cNvPr id="60" name="Retângulo de cantos arredondados 164">
          <a:extLst>
            <a:ext uri="{FF2B5EF4-FFF2-40B4-BE49-F238E27FC236}">
              <a16:creationId xmlns:a16="http://schemas.microsoft.com/office/drawing/2014/main" id="{3640B08A-A0DD-4053-A70A-596233A755FB}"/>
            </a:ext>
          </a:extLst>
        </xdr:cNvPr>
        <xdr:cNvSpPr/>
      </xdr:nvSpPr>
      <xdr:spPr>
        <a:xfrm>
          <a:off x="7687238" y="32437667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5</xdr:col>
      <xdr:colOff>84614</xdr:colOff>
      <xdr:row>108</xdr:row>
      <xdr:rowOff>176491</xdr:rowOff>
    </xdr:from>
    <xdr:to>
      <xdr:col>5</xdr:col>
      <xdr:colOff>951389</xdr:colOff>
      <xdr:row>108</xdr:row>
      <xdr:rowOff>252691</xdr:rowOff>
    </xdr:to>
    <xdr:sp macro="" textlink="">
      <xdr:nvSpPr>
        <xdr:cNvPr id="61" name="Retângulo de cantos arredondados 165">
          <a:extLst>
            <a:ext uri="{FF2B5EF4-FFF2-40B4-BE49-F238E27FC236}">
              <a16:creationId xmlns:a16="http://schemas.microsoft.com/office/drawing/2014/main" id="{DA9FC9CB-3013-4111-8B24-F1F08852893F}"/>
            </a:ext>
          </a:extLst>
        </xdr:cNvPr>
        <xdr:cNvSpPr/>
      </xdr:nvSpPr>
      <xdr:spPr>
        <a:xfrm>
          <a:off x="8742839" y="31809016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104173</xdr:colOff>
      <xdr:row>113</xdr:row>
      <xdr:rowOff>212394</xdr:rowOff>
    </xdr:from>
    <xdr:to>
      <xdr:col>4</xdr:col>
      <xdr:colOff>970948</xdr:colOff>
      <xdr:row>113</xdr:row>
      <xdr:rowOff>288594</xdr:rowOff>
    </xdr:to>
    <xdr:sp macro="" textlink="">
      <xdr:nvSpPr>
        <xdr:cNvPr id="64" name="Retângulo de cantos arredondados 168">
          <a:extLst>
            <a:ext uri="{FF2B5EF4-FFF2-40B4-BE49-F238E27FC236}">
              <a16:creationId xmlns:a16="http://schemas.microsoft.com/office/drawing/2014/main" id="{164C76E0-8CDD-49AE-A4E0-FC4CCF06DEB0}"/>
            </a:ext>
          </a:extLst>
        </xdr:cNvPr>
        <xdr:cNvSpPr/>
      </xdr:nvSpPr>
      <xdr:spPr>
        <a:xfrm>
          <a:off x="7686073" y="33416544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110035</xdr:colOff>
      <xdr:row>115</xdr:row>
      <xdr:rowOff>196275</xdr:rowOff>
    </xdr:from>
    <xdr:to>
      <xdr:col>4</xdr:col>
      <xdr:colOff>976810</xdr:colOff>
      <xdr:row>115</xdr:row>
      <xdr:rowOff>272475</xdr:rowOff>
    </xdr:to>
    <xdr:sp macro="" textlink="">
      <xdr:nvSpPr>
        <xdr:cNvPr id="65" name="Retângulo de cantos arredondados 169">
          <a:extLst>
            <a:ext uri="{FF2B5EF4-FFF2-40B4-BE49-F238E27FC236}">
              <a16:creationId xmlns:a16="http://schemas.microsoft.com/office/drawing/2014/main" id="{5A3AB9D9-592C-4CF0-BD2D-D71C93E864B0}"/>
            </a:ext>
          </a:extLst>
        </xdr:cNvPr>
        <xdr:cNvSpPr/>
      </xdr:nvSpPr>
      <xdr:spPr>
        <a:xfrm>
          <a:off x="7691935" y="34029075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112965</xdr:colOff>
      <xdr:row>117</xdr:row>
      <xdr:rowOff>199206</xdr:rowOff>
    </xdr:from>
    <xdr:to>
      <xdr:col>4</xdr:col>
      <xdr:colOff>979740</xdr:colOff>
      <xdr:row>117</xdr:row>
      <xdr:rowOff>275406</xdr:rowOff>
    </xdr:to>
    <xdr:sp macro="" textlink="">
      <xdr:nvSpPr>
        <xdr:cNvPr id="66" name="Retângulo de cantos arredondados 170">
          <a:extLst>
            <a:ext uri="{FF2B5EF4-FFF2-40B4-BE49-F238E27FC236}">
              <a16:creationId xmlns:a16="http://schemas.microsoft.com/office/drawing/2014/main" id="{44B48E23-AFF6-41AA-ACFF-95F6A61952F2}"/>
            </a:ext>
          </a:extLst>
        </xdr:cNvPr>
        <xdr:cNvSpPr/>
      </xdr:nvSpPr>
      <xdr:spPr>
        <a:xfrm>
          <a:off x="7694865" y="34660656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104173</xdr:colOff>
      <xdr:row>119</xdr:row>
      <xdr:rowOff>212394</xdr:rowOff>
    </xdr:from>
    <xdr:to>
      <xdr:col>4</xdr:col>
      <xdr:colOff>970948</xdr:colOff>
      <xdr:row>119</xdr:row>
      <xdr:rowOff>288594</xdr:rowOff>
    </xdr:to>
    <xdr:sp macro="" textlink="">
      <xdr:nvSpPr>
        <xdr:cNvPr id="67" name="Retângulo de cantos arredondados 171">
          <a:extLst>
            <a:ext uri="{FF2B5EF4-FFF2-40B4-BE49-F238E27FC236}">
              <a16:creationId xmlns:a16="http://schemas.microsoft.com/office/drawing/2014/main" id="{AC75A096-4E9C-4DCC-95E0-967E235CF5B2}"/>
            </a:ext>
          </a:extLst>
        </xdr:cNvPr>
        <xdr:cNvSpPr/>
      </xdr:nvSpPr>
      <xdr:spPr>
        <a:xfrm>
          <a:off x="7686073" y="35302494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110035</xdr:colOff>
      <xdr:row>121</xdr:row>
      <xdr:rowOff>196275</xdr:rowOff>
    </xdr:from>
    <xdr:to>
      <xdr:col>4</xdr:col>
      <xdr:colOff>976810</xdr:colOff>
      <xdr:row>121</xdr:row>
      <xdr:rowOff>272475</xdr:rowOff>
    </xdr:to>
    <xdr:sp macro="" textlink="">
      <xdr:nvSpPr>
        <xdr:cNvPr id="68" name="Retângulo de cantos arredondados 172">
          <a:extLst>
            <a:ext uri="{FF2B5EF4-FFF2-40B4-BE49-F238E27FC236}">
              <a16:creationId xmlns:a16="http://schemas.microsoft.com/office/drawing/2014/main" id="{458C84CC-76A6-499F-8925-AFC127AA140A}"/>
            </a:ext>
          </a:extLst>
        </xdr:cNvPr>
        <xdr:cNvSpPr/>
      </xdr:nvSpPr>
      <xdr:spPr>
        <a:xfrm>
          <a:off x="7691935" y="35915025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110035</xdr:colOff>
      <xdr:row>123</xdr:row>
      <xdr:rowOff>196275</xdr:rowOff>
    </xdr:from>
    <xdr:to>
      <xdr:col>4</xdr:col>
      <xdr:colOff>976810</xdr:colOff>
      <xdr:row>123</xdr:row>
      <xdr:rowOff>272475</xdr:rowOff>
    </xdr:to>
    <xdr:sp macro="" textlink="">
      <xdr:nvSpPr>
        <xdr:cNvPr id="69" name="Retângulo de cantos arredondados 173">
          <a:extLst>
            <a:ext uri="{FF2B5EF4-FFF2-40B4-BE49-F238E27FC236}">
              <a16:creationId xmlns:a16="http://schemas.microsoft.com/office/drawing/2014/main" id="{DDE82785-A5F3-41C9-8B70-4A1ECD2AF0BF}"/>
            </a:ext>
          </a:extLst>
        </xdr:cNvPr>
        <xdr:cNvSpPr/>
      </xdr:nvSpPr>
      <xdr:spPr>
        <a:xfrm>
          <a:off x="7691935" y="36543675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112965</xdr:colOff>
      <xdr:row>125</xdr:row>
      <xdr:rowOff>199206</xdr:rowOff>
    </xdr:from>
    <xdr:to>
      <xdr:col>4</xdr:col>
      <xdr:colOff>979740</xdr:colOff>
      <xdr:row>125</xdr:row>
      <xdr:rowOff>275406</xdr:rowOff>
    </xdr:to>
    <xdr:sp macro="" textlink="">
      <xdr:nvSpPr>
        <xdr:cNvPr id="70" name="Retângulo de cantos arredondados 174">
          <a:extLst>
            <a:ext uri="{FF2B5EF4-FFF2-40B4-BE49-F238E27FC236}">
              <a16:creationId xmlns:a16="http://schemas.microsoft.com/office/drawing/2014/main" id="{36B43722-BE7F-422F-ADF4-5B5702E52E4C}"/>
            </a:ext>
          </a:extLst>
        </xdr:cNvPr>
        <xdr:cNvSpPr/>
      </xdr:nvSpPr>
      <xdr:spPr>
        <a:xfrm>
          <a:off x="7694865" y="37175256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104173</xdr:colOff>
      <xdr:row>127</xdr:row>
      <xdr:rowOff>212394</xdr:rowOff>
    </xdr:from>
    <xdr:to>
      <xdr:col>4</xdr:col>
      <xdr:colOff>970948</xdr:colOff>
      <xdr:row>127</xdr:row>
      <xdr:rowOff>288594</xdr:rowOff>
    </xdr:to>
    <xdr:sp macro="" textlink="">
      <xdr:nvSpPr>
        <xdr:cNvPr id="71" name="Retângulo de cantos arredondados 175">
          <a:extLst>
            <a:ext uri="{FF2B5EF4-FFF2-40B4-BE49-F238E27FC236}">
              <a16:creationId xmlns:a16="http://schemas.microsoft.com/office/drawing/2014/main" id="{9D2224A5-A34A-463E-B23E-AA8BE9A55076}"/>
            </a:ext>
          </a:extLst>
        </xdr:cNvPr>
        <xdr:cNvSpPr/>
      </xdr:nvSpPr>
      <xdr:spPr>
        <a:xfrm>
          <a:off x="7686073" y="37817094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105339</xdr:colOff>
      <xdr:row>105</xdr:row>
      <xdr:rowOff>176491</xdr:rowOff>
    </xdr:from>
    <xdr:to>
      <xdr:col>4</xdr:col>
      <xdr:colOff>972114</xdr:colOff>
      <xdr:row>105</xdr:row>
      <xdr:rowOff>252691</xdr:rowOff>
    </xdr:to>
    <xdr:sp macro="" textlink="">
      <xdr:nvSpPr>
        <xdr:cNvPr id="72" name="Retângulo de cantos arredondados 180">
          <a:extLst>
            <a:ext uri="{FF2B5EF4-FFF2-40B4-BE49-F238E27FC236}">
              <a16:creationId xmlns:a16="http://schemas.microsoft.com/office/drawing/2014/main" id="{D775480B-2B1E-4A55-85D0-30CD88E32716}"/>
            </a:ext>
          </a:extLst>
        </xdr:cNvPr>
        <xdr:cNvSpPr/>
      </xdr:nvSpPr>
      <xdr:spPr>
        <a:xfrm>
          <a:off x="7687239" y="30866041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4</xdr:col>
      <xdr:colOff>112061</xdr:colOff>
      <xdr:row>103</xdr:row>
      <xdr:rowOff>183206</xdr:rowOff>
    </xdr:from>
    <xdr:to>
      <xdr:col>4</xdr:col>
      <xdr:colOff>978836</xdr:colOff>
      <xdr:row>103</xdr:row>
      <xdr:rowOff>259406</xdr:rowOff>
    </xdr:to>
    <xdr:sp macro="" textlink="">
      <xdr:nvSpPr>
        <xdr:cNvPr id="73" name="Retângulo de cantos arredondados 181">
          <a:extLst>
            <a:ext uri="{FF2B5EF4-FFF2-40B4-BE49-F238E27FC236}">
              <a16:creationId xmlns:a16="http://schemas.microsoft.com/office/drawing/2014/main" id="{71D57D79-ED2E-4B4C-9BA0-C74CB1AC6231}"/>
            </a:ext>
          </a:extLst>
        </xdr:cNvPr>
        <xdr:cNvSpPr/>
      </xdr:nvSpPr>
      <xdr:spPr>
        <a:xfrm>
          <a:off x="7693961" y="30244106"/>
          <a:ext cx="866775" cy="7620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106242</xdr:colOff>
      <xdr:row>65</xdr:row>
      <xdr:rowOff>203690</xdr:rowOff>
    </xdr:from>
    <xdr:to>
      <xdr:col>6</xdr:col>
      <xdr:colOff>973017</xdr:colOff>
      <xdr:row>65</xdr:row>
      <xdr:rowOff>279890</xdr:rowOff>
    </xdr:to>
    <xdr:sp macro="" textlink="">
      <xdr:nvSpPr>
        <xdr:cNvPr id="2" name="Retângulo de cantos arredondados 33">
          <a:extLst>
            <a:ext uri="{FF2B5EF4-FFF2-40B4-BE49-F238E27FC236}">
              <a16:creationId xmlns:a16="http://schemas.microsoft.com/office/drawing/2014/main" id="{DB8A7C78-8EDC-4E38-B488-AE8BEED69394}"/>
            </a:ext>
          </a:extLst>
        </xdr:cNvPr>
        <xdr:cNvSpPr/>
      </xdr:nvSpPr>
      <xdr:spPr>
        <a:xfrm>
          <a:off x="8506171" y="11084602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97450</xdr:colOff>
      <xdr:row>67</xdr:row>
      <xdr:rowOff>216878</xdr:rowOff>
    </xdr:from>
    <xdr:to>
      <xdr:col>6</xdr:col>
      <xdr:colOff>964225</xdr:colOff>
      <xdr:row>67</xdr:row>
      <xdr:rowOff>293078</xdr:rowOff>
    </xdr:to>
    <xdr:sp macro="" textlink="">
      <xdr:nvSpPr>
        <xdr:cNvPr id="3" name="Retângulo de cantos arredondados 34">
          <a:extLst>
            <a:ext uri="{FF2B5EF4-FFF2-40B4-BE49-F238E27FC236}">
              <a16:creationId xmlns:a16="http://schemas.microsoft.com/office/drawing/2014/main" id="{EA4923B6-9D0B-4E8E-A656-B6FCAFD72DFD}"/>
            </a:ext>
          </a:extLst>
        </xdr:cNvPr>
        <xdr:cNvSpPr/>
      </xdr:nvSpPr>
      <xdr:spPr>
        <a:xfrm>
          <a:off x="8497379" y="11430829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103312</xdr:colOff>
      <xdr:row>69</xdr:row>
      <xdr:rowOff>200759</xdr:rowOff>
    </xdr:from>
    <xdr:to>
      <xdr:col>6</xdr:col>
      <xdr:colOff>970087</xdr:colOff>
      <xdr:row>69</xdr:row>
      <xdr:rowOff>276959</xdr:rowOff>
    </xdr:to>
    <xdr:sp macro="" textlink="">
      <xdr:nvSpPr>
        <xdr:cNvPr id="4" name="Retângulo de cantos arredondados 35">
          <a:extLst>
            <a:ext uri="{FF2B5EF4-FFF2-40B4-BE49-F238E27FC236}">
              <a16:creationId xmlns:a16="http://schemas.microsoft.com/office/drawing/2014/main" id="{03A963B9-F813-4548-92C5-E8E39D9711B2}"/>
            </a:ext>
          </a:extLst>
        </xdr:cNvPr>
        <xdr:cNvSpPr/>
      </xdr:nvSpPr>
      <xdr:spPr>
        <a:xfrm>
          <a:off x="8503241" y="11770608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7</xdr:col>
      <xdr:colOff>112107</xdr:colOff>
      <xdr:row>130</xdr:row>
      <xdr:rowOff>158263</xdr:rowOff>
    </xdr:from>
    <xdr:to>
      <xdr:col>7</xdr:col>
      <xdr:colOff>978882</xdr:colOff>
      <xdr:row>130</xdr:row>
      <xdr:rowOff>234463</xdr:rowOff>
    </xdr:to>
    <xdr:sp macro="" textlink="">
      <xdr:nvSpPr>
        <xdr:cNvPr id="5" name="Retângulo de cantos arredondados 36">
          <a:extLst>
            <a:ext uri="{FF2B5EF4-FFF2-40B4-BE49-F238E27FC236}">
              <a16:creationId xmlns:a16="http://schemas.microsoft.com/office/drawing/2014/main" id="{91C34534-A20A-4E3A-A784-DF88F0D6E419}"/>
            </a:ext>
          </a:extLst>
        </xdr:cNvPr>
        <xdr:cNvSpPr/>
      </xdr:nvSpPr>
      <xdr:spPr>
        <a:xfrm>
          <a:off x="10080860" y="22148687"/>
          <a:ext cx="866775" cy="762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7</xdr:col>
      <xdr:colOff>103307</xdr:colOff>
      <xdr:row>132</xdr:row>
      <xdr:rowOff>171452</xdr:rowOff>
    </xdr:from>
    <xdr:to>
      <xdr:col>7</xdr:col>
      <xdr:colOff>970082</xdr:colOff>
      <xdr:row>132</xdr:row>
      <xdr:rowOff>247652</xdr:rowOff>
    </xdr:to>
    <xdr:sp macro="" textlink="">
      <xdr:nvSpPr>
        <xdr:cNvPr id="6" name="Retângulo de cantos arredondados 37">
          <a:extLst>
            <a:ext uri="{FF2B5EF4-FFF2-40B4-BE49-F238E27FC236}">
              <a16:creationId xmlns:a16="http://schemas.microsoft.com/office/drawing/2014/main" id="{2F62AA40-941A-4558-B9B0-426C258B1B42}"/>
            </a:ext>
          </a:extLst>
        </xdr:cNvPr>
        <xdr:cNvSpPr/>
      </xdr:nvSpPr>
      <xdr:spPr>
        <a:xfrm>
          <a:off x="10072060" y="22494914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111501</xdr:colOff>
      <xdr:row>61</xdr:row>
      <xdr:rowOff>180975</xdr:rowOff>
    </xdr:from>
    <xdr:to>
      <xdr:col>6</xdr:col>
      <xdr:colOff>978276</xdr:colOff>
      <xdr:row>61</xdr:row>
      <xdr:rowOff>257175</xdr:rowOff>
    </xdr:to>
    <xdr:sp macro="" textlink="">
      <xdr:nvSpPr>
        <xdr:cNvPr id="7" name="Retângulo de cantos arredondados 49">
          <a:extLst>
            <a:ext uri="{FF2B5EF4-FFF2-40B4-BE49-F238E27FC236}">
              <a16:creationId xmlns:a16="http://schemas.microsoft.com/office/drawing/2014/main" id="{1613BC3E-0002-4326-895D-1E5B93C6CE0D}"/>
            </a:ext>
          </a:extLst>
        </xdr:cNvPr>
        <xdr:cNvSpPr/>
      </xdr:nvSpPr>
      <xdr:spPr>
        <a:xfrm>
          <a:off x="8511430" y="10403429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121026</xdr:colOff>
      <xdr:row>63</xdr:row>
      <xdr:rowOff>180975</xdr:rowOff>
    </xdr:from>
    <xdr:to>
      <xdr:col>6</xdr:col>
      <xdr:colOff>987801</xdr:colOff>
      <xdr:row>63</xdr:row>
      <xdr:rowOff>257175</xdr:rowOff>
    </xdr:to>
    <xdr:sp macro="" textlink="">
      <xdr:nvSpPr>
        <xdr:cNvPr id="8" name="Retângulo de cantos arredondados 50">
          <a:extLst>
            <a:ext uri="{FF2B5EF4-FFF2-40B4-BE49-F238E27FC236}">
              <a16:creationId xmlns:a16="http://schemas.microsoft.com/office/drawing/2014/main" id="{01879425-685C-45D4-B10C-21A731285ECA}"/>
            </a:ext>
          </a:extLst>
        </xdr:cNvPr>
        <xdr:cNvSpPr/>
      </xdr:nvSpPr>
      <xdr:spPr>
        <a:xfrm>
          <a:off x="8520955" y="10744088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106242</xdr:colOff>
      <xdr:row>71</xdr:row>
      <xdr:rowOff>203690</xdr:rowOff>
    </xdr:from>
    <xdr:to>
      <xdr:col>6</xdr:col>
      <xdr:colOff>973017</xdr:colOff>
      <xdr:row>71</xdr:row>
      <xdr:rowOff>279890</xdr:rowOff>
    </xdr:to>
    <xdr:sp macro="" textlink="">
      <xdr:nvSpPr>
        <xdr:cNvPr id="9" name="Retângulo de cantos arredondados 51">
          <a:extLst>
            <a:ext uri="{FF2B5EF4-FFF2-40B4-BE49-F238E27FC236}">
              <a16:creationId xmlns:a16="http://schemas.microsoft.com/office/drawing/2014/main" id="{4CF1AF0F-7430-4619-8DB1-3C8FB0CECF18}"/>
            </a:ext>
          </a:extLst>
        </xdr:cNvPr>
        <xdr:cNvSpPr/>
      </xdr:nvSpPr>
      <xdr:spPr>
        <a:xfrm>
          <a:off x="8506171" y="12106578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97450</xdr:colOff>
      <xdr:row>73</xdr:row>
      <xdr:rowOff>216878</xdr:rowOff>
    </xdr:from>
    <xdr:to>
      <xdr:col>6</xdr:col>
      <xdr:colOff>964225</xdr:colOff>
      <xdr:row>73</xdr:row>
      <xdr:rowOff>293078</xdr:rowOff>
    </xdr:to>
    <xdr:sp macro="" textlink="">
      <xdr:nvSpPr>
        <xdr:cNvPr id="10" name="Retângulo de cantos arredondados 52">
          <a:extLst>
            <a:ext uri="{FF2B5EF4-FFF2-40B4-BE49-F238E27FC236}">
              <a16:creationId xmlns:a16="http://schemas.microsoft.com/office/drawing/2014/main" id="{0196B7BB-F611-4ABA-B78E-54E8D9191EEE}"/>
            </a:ext>
          </a:extLst>
        </xdr:cNvPr>
        <xdr:cNvSpPr/>
      </xdr:nvSpPr>
      <xdr:spPr>
        <a:xfrm>
          <a:off x="8497379" y="12452805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103312</xdr:colOff>
      <xdr:row>75</xdr:row>
      <xdr:rowOff>200759</xdr:rowOff>
    </xdr:from>
    <xdr:to>
      <xdr:col>6</xdr:col>
      <xdr:colOff>970087</xdr:colOff>
      <xdr:row>75</xdr:row>
      <xdr:rowOff>276959</xdr:rowOff>
    </xdr:to>
    <xdr:sp macro="" textlink="">
      <xdr:nvSpPr>
        <xdr:cNvPr id="11" name="Retângulo de cantos arredondados 53">
          <a:extLst>
            <a:ext uri="{FF2B5EF4-FFF2-40B4-BE49-F238E27FC236}">
              <a16:creationId xmlns:a16="http://schemas.microsoft.com/office/drawing/2014/main" id="{6FA23411-BB9B-4DA4-B50E-2F64EC4C4B8A}"/>
            </a:ext>
          </a:extLst>
        </xdr:cNvPr>
        <xdr:cNvSpPr/>
      </xdr:nvSpPr>
      <xdr:spPr>
        <a:xfrm>
          <a:off x="8503241" y="12792585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106242</xdr:colOff>
      <xdr:row>82</xdr:row>
      <xdr:rowOff>181279</xdr:rowOff>
    </xdr:from>
    <xdr:to>
      <xdr:col>6</xdr:col>
      <xdr:colOff>973017</xdr:colOff>
      <xdr:row>82</xdr:row>
      <xdr:rowOff>257479</xdr:rowOff>
    </xdr:to>
    <xdr:sp macro="" textlink="">
      <xdr:nvSpPr>
        <xdr:cNvPr id="12" name="Retângulo de cantos arredondados 54">
          <a:extLst>
            <a:ext uri="{FF2B5EF4-FFF2-40B4-BE49-F238E27FC236}">
              <a16:creationId xmlns:a16="http://schemas.microsoft.com/office/drawing/2014/main" id="{DFAE05B0-27C5-46D8-96D9-ED321934755D}"/>
            </a:ext>
          </a:extLst>
        </xdr:cNvPr>
        <xdr:cNvSpPr/>
      </xdr:nvSpPr>
      <xdr:spPr>
        <a:xfrm>
          <a:off x="8506171" y="13980651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97450</xdr:colOff>
      <xdr:row>84</xdr:row>
      <xdr:rowOff>216878</xdr:rowOff>
    </xdr:from>
    <xdr:to>
      <xdr:col>6</xdr:col>
      <xdr:colOff>964225</xdr:colOff>
      <xdr:row>84</xdr:row>
      <xdr:rowOff>293078</xdr:rowOff>
    </xdr:to>
    <xdr:sp macro="" textlink="">
      <xdr:nvSpPr>
        <xdr:cNvPr id="13" name="Retângulo de cantos arredondados 55">
          <a:extLst>
            <a:ext uri="{FF2B5EF4-FFF2-40B4-BE49-F238E27FC236}">
              <a16:creationId xmlns:a16="http://schemas.microsoft.com/office/drawing/2014/main" id="{682FBD5C-CDF8-408A-8150-D18D44E81749}"/>
            </a:ext>
          </a:extLst>
        </xdr:cNvPr>
        <xdr:cNvSpPr/>
      </xdr:nvSpPr>
      <xdr:spPr>
        <a:xfrm>
          <a:off x="8497379" y="14326429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103312</xdr:colOff>
      <xdr:row>86</xdr:row>
      <xdr:rowOff>200759</xdr:rowOff>
    </xdr:from>
    <xdr:to>
      <xdr:col>6</xdr:col>
      <xdr:colOff>970087</xdr:colOff>
      <xdr:row>86</xdr:row>
      <xdr:rowOff>276959</xdr:rowOff>
    </xdr:to>
    <xdr:sp macro="" textlink="">
      <xdr:nvSpPr>
        <xdr:cNvPr id="19" name="Retângulo de cantos arredondados 56">
          <a:extLst>
            <a:ext uri="{FF2B5EF4-FFF2-40B4-BE49-F238E27FC236}">
              <a16:creationId xmlns:a16="http://schemas.microsoft.com/office/drawing/2014/main" id="{37BA7C6C-0BEB-4C0C-80C8-20CA1790DFA3}"/>
            </a:ext>
          </a:extLst>
        </xdr:cNvPr>
        <xdr:cNvSpPr/>
      </xdr:nvSpPr>
      <xdr:spPr>
        <a:xfrm>
          <a:off x="8503241" y="14666208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100296</xdr:colOff>
      <xdr:row>78</xdr:row>
      <xdr:rowOff>180975</xdr:rowOff>
    </xdr:from>
    <xdr:to>
      <xdr:col>6</xdr:col>
      <xdr:colOff>967071</xdr:colOff>
      <xdr:row>78</xdr:row>
      <xdr:rowOff>257175</xdr:rowOff>
    </xdr:to>
    <xdr:sp macro="" textlink="">
      <xdr:nvSpPr>
        <xdr:cNvPr id="20" name="Retângulo de cantos arredondados 57">
          <a:extLst>
            <a:ext uri="{FF2B5EF4-FFF2-40B4-BE49-F238E27FC236}">
              <a16:creationId xmlns:a16="http://schemas.microsoft.com/office/drawing/2014/main" id="{83026269-C89A-498C-8C25-FF0E6A5B7B08}"/>
            </a:ext>
          </a:extLst>
        </xdr:cNvPr>
        <xdr:cNvSpPr/>
      </xdr:nvSpPr>
      <xdr:spPr>
        <a:xfrm>
          <a:off x="8500225" y="13299029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109821</xdr:colOff>
      <xdr:row>80</xdr:row>
      <xdr:rowOff>180975</xdr:rowOff>
    </xdr:from>
    <xdr:to>
      <xdr:col>6</xdr:col>
      <xdr:colOff>976596</xdr:colOff>
      <xdr:row>80</xdr:row>
      <xdr:rowOff>257175</xdr:rowOff>
    </xdr:to>
    <xdr:sp macro="" textlink="">
      <xdr:nvSpPr>
        <xdr:cNvPr id="21" name="Retângulo de cantos arredondados 58">
          <a:extLst>
            <a:ext uri="{FF2B5EF4-FFF2-40B4-BE49-F238E27FC236}">
              <a16:creationId xmlns:a16="http://schemas.microsoft.com/office/drawing/2014/main" id="{188D31C5-9463-4B0D-BBE9-8DBBD0EC3350}"/>
            </a:ext>
          </a:extLst>
        </xdr:cNvPr>
        <xdr:cNvSpPr/>
      </xdr:nvSpPr>
      <xdr:spPr>
        <a:xfrm>
          <a:off x="8509750" y="13639688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106242</xdr:colOff>
      <xdr:row>88</xdr:row>
      <xdr:rowOff>203690</xdr:rowOff>
    </xdr:from>
    <xdr:to>
      <xdr:col>6</xdr:col>
      <xdr:colOff>973017</xdr:colOff>
      <xdr:row>88</xdr:row>
      <xdr:rowOff>279890</xdr:rowOff>
    </xdr:to>
    <xdr:sp macro="" textlink="">
      <xdr:nvSpPr>
        <xdr:cNvPr id="22" name="Retângulo de cantos arredondados 59">
          <a:extLst>
            <a:ext uri="{FF2B5EF4-FFF2-40B4-BE49-F238E27FC236}">
              <a16:creationId xmlns:a16="http://schemas.microsoft.com/office/drawing/2014/main" id="{6943F0DA-8E70-4E76-A1CC-9C0E650AA56B}"/>
            </a:ext>
          </a:extLst>
        </xdr:cNvPr>
        <xdr:cNvSpPr/>
      </xdr:nvSpPr>
      <xdr:spPr>
        <a:xfrm>
          <a:off x="8506171" y="15002178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97450</xdr:colOff>
      <xdr:row>90</xdr:row>
      <xdr:rowOff>216878</xdr:rowOff>
    </xdr:from>
    <xdr:to>
      <xdr:col>6</xdr:col>
      <xdr:colOff>964225</xdr:colOff>
      <xdr:row>90</xdr:row>
      <xdr:rowOff>293078</xdr:rowOff>
    </xdr:to>
    <xdr:sp macro="" textlink="">
      <xdr:nvSpPr>
        <xdr:cNvPr id="23" name="Retângulo de cantos arredondados 60">
          <a:extLst>
            <a:ext uri="{FF2B5EF4-FFF2-40B4-BE49-F238E27FC236}">
              <a16:creationId xmlns:a16="http://schemas.microsoft.com/office/drawing/2014/main" id="{775DBB8A-2BCF-4AED-B66A-24E63254FD3F}"/>
            </a:ext>
          </a:extLst>
        </xdr:cNvPr>
        <xdr:cNvSpPr/>
      </xdr:nvSpPr>
      <xdr:spPr>
        <a:xfrm>
          <a:off x="8497379" y="15348405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103312</xdr:colOff>
      <xdr:row>92</xdr:row>
      <xdr:rowOff>200759</xdr:rowOff>
    </xdr:from>
    <xdr:to>
      <xdr:col>6</xdr:col>
      <xdr:colOff>970087</xdr:colOff>
      <xdr:row>92</xdr:row>
      <xdr:rowOff>276959</xdr:rowOff>
    </xdr:to>
    <xdr:sp macro="" textlink="">
      <xdr:nvSpPr>
        <xdr:cNvPr id="53" name="Retângulo de cantos arredondados 61">
          <a:extLst>
            <a:ext uri="{FF2B5EF4-FFF2-40B4-BE49-F238E27FC236}">
              <a16:creationId xmlns:a16="http://schemas.microsoft.com/office/drawing/2014/main" id="{10ACAF61-B357-40CE-BDD9-02FD08BACD9D}"/>
            </a:ext>
          </a:extLst>
        </xdr:cNvPr>
        <xdr:cNvSpPr/>
      </xdr:nvSpPr>
      <xdr:spPr>
        <a:xfrm>
          <a:off x="8503241" y="15688185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103312</xdr:colOff>
      <xdr:row>94</xdr:row>
      <xdr:rowOff>200759</xdr:rowOff>
    </xdr:from>
    <xdr:to>
      <xdr:col>6</xdr:col>
      <xdr:colOff>970087</xdr:colOff>
      <xdr:row>94</xdr:row>
      <xdr:rowOff>276959</xdr:rowOff>
    </xdr:to>
    <xdr:sp macro="" textlink="">
      <xdr:nvSpPr>
        <xdr:cNvPr id="54" name="Retângulo de cantos arredondados 62">
          <a:extLst>
            <a:ext uri="{FF2B5EF4-FFF2-40B4-BE49-F238E27FC236}">
              <a16:creationId xmlns:a16="http://schemas.microsoft.com/office/drawing/2014/main" id="{12F184FC-7391-48B0-9FDF-BA815EB3475E}"/>
            </a:ext>
          </a:extLst>
        </xdr:cNvPr>
        <xdr:cNvSpPr/>
      </xdr:nvSpPr>
      <xdr:spPr>
        <a:xfrm>
          <a:off x="8503241" y="16028844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106242</xdr:colOff>
      <xdr:row>96</xdr:row>
      <xdr:rowOff>203690</xdr:rowOff>
    </xdr:from>
    <xdr:to>
      <xdr:col>6</xdr:col>
      <xdr:colOff>973017</xdr:colOff>
      <xdr:row>96</xdr:row>
      <xdr:rowOff>279890</xdr:rowOff>
    </xdr:to>
    <xdr:sp macro="" textlink="">
      <xdr:nvSpPr>
        <xdr:cNvPr id="55" name="Retângulo de cantos arredondados 63">
          <a:extLst>
            <a:ext uri="{FF2B5EF4-FFF2-40B4-BE49-F238E27FC236}">
              <a16:creationId xmlns:a16="http://schemas.microsoft.com/office/drawing/2014/main" id="{33717555-315F-42B9-B093-9CBC31D13C53}"/>
            </a:ext>
          </a:extLst>
        </xdr:cNvPr>
        <xdr:cNvSpPr/>
      </xdr:nvSpPr>
      <xdr:spPr>
        <a:xfrm>
          <a:off x="8506171" y="16364814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97450</xdr:colOff>
      <xdr:row>98</xdr:row>
      <xdr:rowOff>216878</xdr:rowOff>
    </xdr:from>
    <xdr:to>
      <xdr:col>6</xdr:col>
      <xdr:colOff>964225</xdr:colOff>
      <xdr:row>98</xdr:row>
      <xdr:rowOff>293078</xdr:rowOff>
    </xdr:to>
    <xdr:sp macro="" textlink="">
      <xdr:nvSpPr>
        <xdr:cNvPr id="56" name="Retângulo de cantos arredondados 64">
          <a:extLst>
            <a:ext uri="{FF2B5EF4-FFF2-40B4-BE49-F238E27FC236}">
              <a16:creationId xmlns:a16="http://schemas.microsoft.com/office/drawing/2014/main" id="{FDE42114-DFEA-44D8-9DF1-3B8EC279925D}"/>
            </a:ext>
          </a:extLst>
        </xdr:cNvPr>
        <xdr:cNvSpPr/>
      </xdr:nvSpPr>
      <xdr:spPr>
        <a:xfrm>
          <a:off x="8497379" y="16711040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103312</xdr:colOff>
      <xdr:row>100</xdr:row>
      <xdr:rowOff>200759</xdr:rowOff>
    </xdr:from>
    <xdr:to>
      <xdr:col>6</xdr:col>
      <xdr:colOff>970087</xdr:colOff>
      <xdr:row>100</xdr:row>
      <xdr:rowOff>276959</xdr:rowOff>
    </xdr:to>
    <xdr:sp macro="" textlink="">
      <xdr:nvSpPr>
        <xdr:cNvPr id="57" name="Retângulo de cantos arredondados 65">
          <a:extLst>
            <a:ext uri="{FF2B5EF4-FFF2-40B4-BE49-F238E27FC236}">
              <a16:creationId xmlns:a16="http://schemas.microsoft.com/office/drawing/2014/main" id="{8A58A99C-E1C7-4470-83F7-D54BF8E4EA78}"/>
            </a:ext>
          </a:extLst>
        </xdr:cNvPr>
        <xdr:cNvSpPr/>
      </xdr:nvSpPr>
      <xdr:spPr>
        <a:xfrm>
          <a:off x="8503241" y="17050820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100297</xdr:colOff>
      <xdr:row>108</xdr:row>
      <xdr:rowOff>180975</xdr:rowOff>
    </xdr:from>
    <xdr:to>
      <xdr:col>6</xdr:col>
      <xdr:colOff>967072</xdr:colOff>
      <xdr:row>108</xdr:row>
      <xdr:rowOff>257175</xdr:rowOff>
    </xdr:to>
    <xdr:sp macro="" textlink="">
      <xdr:nvSpPr>
        <xdr:cNvPr id="59" name="Retângulo de cantos arredondados 68">
          <a:extLst>
            <a:ext uri="{FF2B5EF4-FFF2-40B4-BE49-F238E27FC236}">
              <a16:creationId xmlns:a16="http://schemas.microsoft.com/office/drawing/2014/main" id="{F0EB45F8-E6D0-48D5-AB4A-F41849DAE97C}"/>
            </a:ext>
          </a:extLst>
        </xdr:cNvPr>
        <xdr:cNvSpPr/>
      </xdr:nvSpPr>
      <xdr:spPr>
        <a:xfrm>
          <a:off x="8500226" y="18408911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98614</xdr:colOff>
      <xdr:row>110</xdr:row>
      <xdr:rowOff>180975</xdr:rowOff>
    </xdr:from>
    <xdr:to>
      <xdr:col>7</xdr:col>
      <xdr:colOff>965389</xdr:colOff>
      <xdr:row>110</xdr:row>
      <xdr:rowOff>257175</xdr:rowOff>
    </xdr:to>
    <xdr:sp macro="" textlink="">
      <xdr:nvSpPr>
        <xdr:cNvPr id="62" name="Retângulo de cantos arredondados 69">
          <a:extLst>
            <a:ext uri="{FF2B5EF4-FFF2-40B4-BE49-F238E27FC236}">
              <a16:creationId xmlns:a16="http://schemas.microsoft.com/office/drawing/2014/main" id="{9F9CBC46-A337-4796-A8D5-73109470CA75}"/>
            </a:ext>
          </a:extLst>
        </xdr:cNvPr>
        <xdr:cNvSpPr/>
      </xdr:nvSpPr>
      <xdr:spPr>
        <a:xfrm>
          <a:off x="10067367" y="18749570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7</xdr:col>
      <xdr:colOff>97452</xdr:colOff>
      <xdr:row>113</xdr:row>
      <xdr:rowOff>216878</xdr:rowOff>
    </xdr:from>
    <xdr:to>
      <xdr:col>7</xdr:col>
      <xdr:colOff>964227</xdr:colOff>
      <xdr:row>113</xdr:row>
      <xdr:rowOff>293078</xdr:rowOff>
    </xdr:to>
    <xdr:sp macro="" textlink="">
      <xdr:nvSpPr>
        <xdr:cNvPr id="63" name="Retângulo de cantos arredondados 70">
          <a:extLst>
            <a:ext uri="{FF2B5EF4-FFF2-40B4-BE49-F238E27FC236}">
              <a16:creationId xmlns:a16="http://schemas.microsoft.com/office/drawing/2014/main" id="{D22B58C3-FBC7-439C-92E4-1BCEE32B99C1}"/>
            </a:ext>
          </a:extLst>
        </xdr:cNvPr>
        <xdr:cNvSpPr/>
      </xdr:nvSpPr>
      <xdr:spPr>
        <a:xfrm>
          <a:off x="10066205" y="19265982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7</xdr:col>
      <xdr:colOff>103314</xdr:colOff>
      <xdr:row>115</xdr:row>
      <xdr:rowOff>200759</xdr:rowOff>
    </xdr:from>
    <xdr:to>
      <xdr:col>7</xdr:col>
      <xdr:colOff>970089</xdr:colOff>
      <xdr:row>115</xdr:row>
      <xdr:rowOff>276959</xdr:rowOff>
    </xdr:to>
    <xdr:sp macro="" textlink="">
      <xdr:nvSpPr>
        <xdr:cNvPr id="74" name="Retângulo de cantos arredondados 71">
          <a:extLst>
            <a:ext uri="{FF2B5EF4-FFF2-40B4-BE49-F238E27FC236}">
              <a16:creationId xmlns:a16="http://schemas.microsoft.com/office/drawing/2014/main" id="{E7EBC9D1-61DE-4754-8319-80A3E3953700}"/>
            </a:ext>
          </a:extLst>
        </xdr:cNvPr>
        <xdr:cNvSpPr/>
      </xdr:nvSpPr>
      <xdr:spPr>
        <a:xfrm>
          <a:off x="10072067" y="19605761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7</xdr:col>
      <xdr:colOff>106244</xdr:colOff>
      <xdr:row>117</xdr:row>
      <xdr:rowOff>203690</xdr:rowOff>
    </xdr:from>
    <xdr:to>
      <xdr:col>7</xdr:col>
      <xdr:colOff>973019</xdr:colOff>
      <xdr:row>117</xdr:row>
      <xdr:rowOff>279890</xdr:rowOff>
    </xdr:to>
    <xdr:sp macro="" textlink="">
      <xdr:nvSpPr>
        <xdr:cNvPr id="75" name="Retângulo de cantos arredondados 72">
          <a:extLst>
            <a:ext uri="{FF2B5EF4-FFF2-40B4-BE49-F238E27FC236}">
              <a16:creationId xmlns:a16="http://schemas.microsoft.com/office/drawing/2014/main" id="{A87565B9-0815-43A1-B8D4-B4314C30E4B0}"/>
            </a:ext>
          </a:extLst>
        </xdr:cNvPr>
        <xdr:cNvSpPr/>
      </xdr:nvSpPr>
      <xdr:spPr>
        <a:xfrm>
          <a:off x="10074997" y="19941731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7</xdr:col>
      <xdr:colOff>97452</xdr:colOff>
      <xdr:row>119</xdr:row>
      <xdr:rowOff>216878</xdr:rowOff>
    </xdr:from>
    <xdr:to>
      <xdr:col>7</xdr:col>
      <xdr:colOff>964227</xdr:colOff>
      <xdr:row>119</xdr:row>
      <xdr:rowOff>293078</xdr:rowOff>
    </xdr:to>
    <xdr:sp macro="" textlink="">
      <xdr:nvSpPr>
        <xdr:cNvPr id="76" name="Retângulo de cantos arredondados 73">
          <a:extLst>
            <a:ext uri="{FF2B5EF4-FFF2-40B4-BE49-F238E27FC236}">
              <a16:creationId xmlns:a16="http://schemas.microsoft.com/office/drawing/2014/main" id="{BD97E392-604E-4E03-B8EA-58FC2C5F59BA}"/>
            </a:ext>
          </a:extLst>
        </xdr:cNvPr>
        <xdr:cNvSpPr/>
      </xdr:nvSpPr>
      <xdr:spPr>
        <a:xfrm>
          <a:off x="10066205" y="20287958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7</xdr:col>
      <xdr:colOff>103314</xdr:colOff>
      <xdr:row>121</xdr:row>
      <xdr:rowOff>200759</xdr:rowOff>
    </xdr:from>
    <xdr:to>
      <xdr:col>7</xdr:col>
      <xdr:colOff>970089</xdr:colOff>
      <xdr:row>121</xdr:row>
      <xdr:rowOff>276959</xdr:rowOff>
    </xdr:to>
    <xdr:sp macro="" textlink="">
      <xdr:nvSpPr>
        <xdr:cNvPr id="77" name="Retângulo de cantos arredondados 74">
          <a:extLst>
            <a:ext uri="{FF2B5EF4-FFF2-40B4-BE49-F238E27FC236}">
              <a16:creationId xmlns:a16="http://schemas.microsoft.com/office/drawing/2014/main" id="{255E5968-1E24-43D2-A069-20CB55CE0FF8}"/>
            </a:ext>
          </a:extLst>
        </xdr:cNvPr>
        <xdr:cNvSpPr/>
      </xdr:nvSpPr>
      <xdr:spPr>
        <a:xfrm>
          <a:off x="10072067" y="20627738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7</xdr:col>
      <xdr:colOff>103314</xdr:colOff>
      <xdr:row>123</xdr:row>
      <xdr:rowOff>200759</xdr:rowOff>
    </xdr:from>
    <xdr:to>
      <xdr:col>7</xdr:col>
      <xdr:colOff>970089</xdr:colOff>
      <xdr:row>123</xdr:row>
      <xdr:rowOff>276959</xdr:rowOff>
    </xdr:to>
    <xdr:sp macro="" textlink="">
      <xdr:nvSpPr>
        <xdr:cNvPr id="78" name="Retângulo de cantos arredondados 75">
          <a:extLst>
            <a:ext uri="{FF2B5EF4-FFF2-40B4-BE49-F238E27FC236}">
              <a16:creationId xmlns:a16="http://schemas.microsoft.com/office/drawing/2014/main" id="{6D143940-BA99-47B6-BBA7-195954547909}"/>
            </a:ext>
          </a:extLst>
        </xdr:cNvPr>
        <xdr:cNvSpPr/>
      </xdr:nvSpPr>
      <xdr:spPr>
        <a:xfrm>
          <a:off x="10072067" y="20968397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7</xdr:col>
      <xdr:colOff>106244</xdr:colOff>
      <xdr:row>125</xdr:row>
      <xdr:rowOff>203690</xdr:rowOff>
    </xdr:from>
    <xdr:to>
      <xdr:col>7</xdr:col>
      <xdr:colOff>973019</xdr:colOff>
      <xdr:row>125</xdr:row>
      <xdr:rowOff>279890</xdr:rowOff>
    </xdr:to>
    <xdr:sp macro="" textlink="">
      <xdr:nvSpPr>
        <xdr:cNvPr id="79" name="Retângulo de cantos arredondados 76">
          <a:extLst>
            <a:ext uri="{FF2B5EF4-FFF2-40B4-BE49-F238E27FC236}">
              <a16:creationId xmlns:a16="http://schemas.microsoft.com/office/drawing/2014/main" id="{A6C4E9B4-C96E-4BE0-8BD0-B4102CAD8D06}"/>
            </a:ext>
          </a:extLst>
        </xdr:cNvPr>
        <xdr:cNvSpPr/>
      </xdr:nvSpPr>
      <xdr:spPr>
        <a:xfrm>
          <a:off x="10074997" y="21304366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7</xdr:col>
      <xdr:colOff>97452</xdr:colOff>
      <xdr:row>127</xdr:row>
      <xdr:rowOff>216878</xdr:rowOff>
    </xdr:from>
    <xdr:to>
      <xdr:col>7</xdr:col>
      <xdr:colOff>964227</xdr:colOff>
      <xdr:row>127</xdr:row>
      <xdr:rowOff>293078</xdr:rowOff>
    </xdr:to>
    <xdr:sp macro="" textlink="">
      <xdr:nvSpPr>
        <xdr:cNvPr id="80" name="Retângulo de cantos arredondados 77">
          <a:extLst>
            <a:ext uri="{FF2B5EF4-FFF2-40B4-BE49-F238E27FC236}">
              <a16:creationId xmlns:a16="http://schemas.microsoft.com/office/drawing/2014/main" id="{57FD0132-7F3D-4E18-81AC-D117CA53F741}"/>
            </a:ext>
          </a:extLst>
        </xdr:cNvPr>
        <xdr:cNvSpPr/>
      </xdr:nvSpPr>
      <xdr:spPr>
        <a:xfrm>
          <a:off x="10066205" y="21650593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105338</xdr:colOff>
      <xdr:row>110</xdr:row>
      <xdr:rowOff>176492</xdr:rowOff>
    </xdr:from>
    <xdr:to>
      <xdr:col>6</xdr:col>
      <xdr:colOff>972113</xdr:colOff>
      <xdr:row>110</xdr:row>
      <xdr:rowOff>252692</xdr:rowOff>
    </xdr:to>
    <xdr:sp macro="" textlink="">
      <xdr:nvSpPr>
        <xdr:cNvPr id="81" name="Retângulo de cantos arredondados 164">
          <a:extLst>
            <a:ext uri="{FF2B5EF4-FFF2-40B4-BE49-F238E27FC236}">
              <a16:creationId xmlns:a16="http://schemas.microsoft.com/office/drawing/2014/main" id="{13C513C8-26F0-45F1-B1C7-A51FF5649BF4}"/>
            </a:ext>
          </a:extLst>
        </xdr:cNvPr>
        <xdr:cNvSpPr/>
      </xdr:nvSpPr>
      <xdr:spPr>
        <a:xfrm>
          <a:off x="8505267" y="18752707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7</xdr:col>
      <xdr:colOff>84614</xdr:colOff>
      <xdr:row>108</xdr:row>
      <xdr:rowOff>176491</xdr:rowOff>
    </xdr:from>
    <xdr:to>
      <xdr:col>7</xdr:col>
      <xdr:colOff>951389</xdr:colOff>
      <xdr:row>108</xdr:row>
      <xdr:rowOff>252691</xdr:rowOff>
    </xdr:to>
    <xdr:sp macro="" textlink="">
      <xdr:nvSpPr>
        <xdr:cNvPr id="82" name="Retângulo de cantos arredondados 165">
          <a:extLst>
            <a:ext uri="{FF2B5EF4-FFF2-40B4-BE49-F238E27FC236}">
              <a16:creationId xmlns:a16="http://schemas.microsoft.com/office/drawing/2014/main" id="{CC8445A6-C891-4A19-9274-820A03829A5E}"/>
            </a:ext>
          </a:extLst>
        </xdr:cNvPr>
        <xdr:cNvSpPr/>
      </xdr:nvSpPr>
      <xdr:spPr>
        <a:xfrm>
          <a:off x="10053367" y="18412047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104173</xdr:colOff>
      <xdr:row>113</xdr:row>
      <xdr:rowOff>212394</xdr:rowOff>
    </xdr:from>
    <xdr:to>
      <xdr:col>6</xdr:col>
      <xdr:colOff>970948</xdr:colOff>
      <xdr:row>113</xdr:row>
      <xdr:rowOff>288594</xdr:rowOff>
    </xdr:to>
    <xdr:sp macro="" textlink="">
      <xdr:nvSpPr>
        <xdr:cNvPr id="83" name="Retângulo de cantos arredondados 168">
          <a:extLst>
            <a:ext uri="{FF2B5EF4-FFF2-40B4-BE49-F238E27FC236}">
              <a16:creationId xmlns:a16="http://schemas.microsoft.com/office/drawing/2014/main" id="{28932336-25D1-4C14-AEAD-A19748622833}"/>
            </a:ext>
          </a:extLst>
        </xdr:cNvPr>
        <xdr:cNvSpPr/>
      </xdr:nvSpPr>
      <xdr:spPr>
        <a:xfrm>
          <a:off x="8504102" y="19261498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110035</xdr:colOff>
      <xdr:row>115</xdr:row>
      <xdr:rowOff>196275</xdr:rowOff>
    </xdr:from>
    <xdr:to>
      <xdr:col>6</xdr:col>
      <xdr:colOff>976810</xdr:colOff>
      <xdr:row>115</xdr:row>
      <xdr:rowOff>272475</xdr:rowOff>
    </xdr:to>
    <xdr:sp macro="" textlink="">
      <xdr:nvSpPr>
        <xdr:cNvPr id="84" name="Retângulo de cantos arredondados 169">
          <a:extLst>
            <a:ext uri="{FF2B5EF4-FFF2-40B4-BE49-F238E27FC236}">
              <a16:creationId xmlns:a16="http://schemas.microsoft.com/office/drawing/2014/main" id="{6FE927EC-B9C6-48CF-994C-8259B617FA15}"/>
            </a:ext>
          </a:extLst>
        </xdr:cNvPr>
        <xdr:cNvSpPr/>
      </xdr:nvSpPr>
      <xdr:spPr>
        <a:xfrm>
          <a:off x="8509964" y="19601277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112965</xdr:colOff>
      <xdr:row>117</xdr:row>
      <xdr:rowOff>199206</xdr:rowOff>
    </xdr:from>
    <xdr:to>
      <xdr:col>6</xdr:col>
      <xdr:colOff>979740</xdr:colOff>
      <xdr:row>117</xdr:row>
      <xdr:rowOff>275406</xdr:rowOff>
    </xdr:to>
    <xdr:sp macro="" textlink="">
      <xdr:nvSpPr>
        <xdr:cNvPr id="85" name="Retângulo de cantos arredondados 170">
          <a:extLst>
            <a:ext uri="{FF2B5EF4-FFF2-40B4-BE49-F238E27FC236}">
              <a16:creationId xmlns:a16="http://schemas.microsoft.com/office/drawing/2014/main" id="{CB63C59F-8FEC-44B9-A3BC-3E4580917EC8}"/>
            </a:ext>
          </a:extLst>
        </xdr:cNvPr>
        <xdr:cNvSpPr/>
      </xdr:nvSpPr>
      <xdr:spPr>
        <a:xfrm>
          <a:off x="8512894" y="19944867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104173</xdr:colOff>
      <xdr:row>119</xdr:row>
      <xdr:rowOff>212394</xdr:rowOff>
    </xdr:from>
    <xdr:to>
      <xdr:col>6</xdr:col>
      <xdr:colOff>970948</xdr:colOff>
      <xdr:row>119</xdr:row>
      <xdr:rowOff>288594</xdr:rowOff>
    </xdr:to>
    <xdr:sp macro="" textlink="">
      <xdr:nvSpPr>
        <xdr:cNvPr id="86" name="Retângulo de cantos arredondados 171">
          <a:extLst>
            <a:ext uri="{FF2B5EF4-FFF2-40B4-BE49-F238E27FC236}">
              <a16:creationId xmlns:a16="http://schemas.microsoft.com/office/drawing/2014/main" id="{DD1DC741-E897-4CAD-8532-66994C8CFE19}"/>
            </a:ext>
          </a:extLst>
        </xdr:cNvPr>
        <xdr:cNvSpPr/>
      </xdr:nvSpPr>
      <xdr:spPr>
        <a:xfrm>
          <a:off x="8504102" y="20283474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110035</xdr:colOff>
      <xdr:row>121</xdr:row>
      <xdr:rowOff>196275</xdr:rowOff>
    </xdr:from>
    <xdr:to>
      <xdr:col>6</xdr:col>
      <xdr:colOff>976810</xdr:colOff>
      <xdr:row>121</xdr:row>
      <xdr:rowOff>272475</xdr:rowOff>
    </xdr:to>
    <xdr:sp macro="" textlink="">
      <xdr:nvSpPr>
        <xdr:cNvPr id="87" name="Retângulo de cantos arredondados 172">
          <a:extLst>
            <a:ext uri="{FF2B5EF4-FFF2-40B4-BE49-F238E27FC236}">
              <a16:creationId xmlns:a16="http://schemas.microsoft.com/office/drawing/2014/main" id="{6A91E252-D7E3-4D20-94E8-F72C64423009}"/>
            </a:ext>
          </a:extLst>
        </xdr:cNvPr>
        <xdr:cNvSpPr/>
      </xdr:nvSpPr>
      <xdr:spPr>
        <a:xfrm>
          <a:off x="8509964" y="20623254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110035</xdr:colOff>
      <xdr:row>123</xdr:row>
      <xdr:rowOff>196275</xdr:rowOff>
    </xdr:from>
    <xdr:to>
      <xdr:col>6</xdr:col>
      <xdr:colOff>976810</xdr:colOff>
      <xdr:row>123</xdr:row>
      <xdr:rowOff>272475</xdr:rowOff>
    </xdr:to>
    <xdr:sp macro="" textlink="">
      <xdr:nvSpPr>
        <xdr:cNvPr id="88" name="Retângulo de cantos arredondados 173">
          <a:extLst>
            <a:ext uri="{FF2B5EF4-FFF2-40B4-BE49-F238E27FC236}">
              <a16:creationId xmlns:a16="http://schemas.microsoft.com/office/drawing/2014/main" id="{3E80284A-52BE-4193-B870-6E50A33F48FD}"/>
            </a:ext>
          </a:extLst>
        </xdr:cNvPr>
        <xdr:cNvSpPr/>
      </xdr:nvSpPr>
      <xdr:spPr>
        <a:xfrm>
          <a:off x="8509964" y="20963913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112965</xdr:colOff>
      <xdr:row>125</xdr:row>
      <xdr:rowOff>199206</xdr:rowOff>
    </xdr:from>
    <xdr:to>
      <xdr:col>6</xdr:col>
      <xdr:colOff>979740</xdr:colOff>
      <xdr:row>125</xdr:row>
      <xdr:rowOff>275406</xdr:rowOff>
    </xdr:to>
    <xdr:sp macro="" textlink="">
      <xdr:nvSpPr>
        <xdr:cNvPr id="89" name="Retângulo de cantos arredondados 174">
          <a:extLst>
            <a:ext uri="{FF2B5EF4-FFF2-40B4-BE49-F238E27FC236}">
              <a16:creationId xmlns:a16="http://schemas.microsoft.com/office/drawing/2014/main" id="{BFAAF20F-9E77-45FC-9171-02FAAD2A726B}"/>
            </a:ext>
          </a:extLst>
        </xdr:cNvPr>
        <xdr:cNvSpPr/>
      </xdr:nvSpPr>
      <xdr:spPr>
        <a:xfrm>
          <a:off x="8512894" y="21307502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104173</xdr:colOff>
      <xdr:row>127</xdr:row>
      <xdr:rowOff>212394</xdr:rowOff>
    </xdr:from>
    <xdr:to>
      <xdr:col>6</xdr:col>
      <xdr:colOff>970948</xdr:colOff>
      <xdr:row>127</xdr:row>
      <xdr:rowOff>288594</xdr:rowOff>
    </xdr:to>
    <xdr:sp macro="" textlink="">
      <xdr:nvSpPr>
        <xdr:cNvPr id="90" name="Retângulo de cantos arredondados 175">
          <a:extLst>
            <a:ext uri="{FF2B5EF4-FFF2-40B4-BE49-F238E27FC236}">
              <a16:creationId xmlns:a16="http://schemas.microsoft.com/office/drawing/2014/main" id="{24AA3566-0F66-464E-A541-4F2F673CED63}"/>
            </a:ext>
          </a:extLst>
        </xdr:cNvPr>
        <xdr:cNvSpPr/>
      </xdr:nvSpPr>
      <xdr:spPr>
        <a:xfrm>
          <a:off x="8504102" y="21646109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105339</xdr:colOff>
      <xdr:row>105</xdr:row>
      <xdr:rowOff>176491</xdr:rowOff>
    </xdr:from>
    <xdr:to>
      <xdr:col>6</xdr:col>
      <xdr:colOff>972114</xdr:colOff>
      <xdr:row>105</xdr:row>
      <xdr:rowOff>252691</xdr:rowOff>
    </xdr:to>
    <xdr:sp macro="" textlink="">
      <xdr:nvSpPr>
        <xdr:cNvPr id="91" name="Retângulo de cantos arredondados 180">
          <a:extLst>
            <a:ext uri="{FF2B5EF4-FFF2-40B4-BE49-F238E27FC236}">
              <a16:creationId xmlns:a16="http://schemas.microsoft.com/office/drawing/2014/main" id="{60E5B718-88F0-4224-9960-D285922D0231}"/>
            </a:ext>
          </a:extLst>
        </xdr:cNvPr>
        <xdr:cNvSpPr/>
      </xdr:nvSpPr>
      <xdr:spPr>
        <a:xfrm>
          <a:off x="8505268" y="17901059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112061</xdr:colOff>
      <xdr:row>103</xdr:row>
      <xdr:rowOff>183206</xdr:rowOff>
    </xdr:from>
    <xdr:to>
      <xdr:col>6</xdr:col>
      <xdr:colOff>978836</xdr:colOff>
      <xdr:row>103</xdr:row>
      <xdr:rowOff>259406</xdr:rowOff>
    </xdr:to>
    <xdr:sp macro="" textlink="">
      <xdr:nvSpPr>
        <xdr:cNvPr id="92" name="Retângulo de cantos arredondados 181">
          <a:extLst>
            <a:ext uri="{FF2B5EF4-FFF2-40B4-BE49-F238E27FC236}">
              <a16:creationId xmlns:a16="http://schemas.microsoft.com/office/drawing/2014/main" id="{CB36B687-7EF2-47E5-8120-BB2A7B6719EF}"/>
            </a:ext>
          </a:extLst>
        </xdr:cNvPr>
        <xdr:cNvSpPr/>
      </xdr:nvSpPr>
      <xdr:spPr>
        <a:xfrm>
          <a:off x="8511990" y="17559495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8</xdr:col>
      <xdr:colOff>112107</xdr:colOff>
      <xdr:row>130</xdr:row>
      <xdr:rowOff>158263</xdr:rowOff>
    </xdr:from>
    <xdr:to>
      <xdr:col>8</xdr:col>
      <xdr:colOff>978882</xdr:colOff>
      <xdr:row>130</xdr:row>
      <xdr:rowOff>234463</xdr:rowOff>
    </xdr:to>
    <xdr:sp macro="" textlink="">
      <xdr:nvSpPr>
        <xdr:cNvPr id="58" name="Retângulo de cantos arredondados 36">
          <a:extLst>
            <a:ext uri="{FF2B5EF4-FFF2-40B4-BE49-F238E27FC236}">
              <a16:creationId xmlns:a16="http://schemas.microsoft.com/office/drawing/2014/main" id="{DBF6391D-6AE0-4A54-BC57-88FD5A18EE5C}"/>
            </a:ext>
          </a:extLst>
        </xdr:cNvPr>
        <xdr:cNvSpPr/>
      </xdr:nvSpPr>
      <xdr:spPr>
        <a:xfrm>
          <a:off x="10206366" y="22489345"/>
          <a:ext cx="866775" cy="762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8</xdr:col>
      <xdr:colOff>103307</xdr:colOff>
      <xdr:row>132</xdr:row>
      <xdr:rowOff>171452</xdr:rowOff>
    </xdr:from>
    <xdr:to>
      <xdr:col>8</xdr:col>
      <xdr:colOff>970082</xdr:colOff>
      <xdr:row>132</xdr:row>
      <xdr:rowOff>247652</xdr:rowOff>
    </xdr:to>
    <xdr:sp macro="" textlink="">
      <xdr:nvSpPr>
        <xdr:cNvPr id="94" name="Retângulo de cantos arredondados 37">
          <a:extLst>
            <a:ext uri="{FF2B5EF4-FFF2-40B4-BE49-F238E27FC236}">
              <a16:creationId xmlns:a16="http://schemas.microsoft.com/office/drawing/2014/main" id="{786DD2E4-97A6-4351-98B4-061721B414A3}"/>
            </a:ext>
          </a:extLst>
        </xdr:cNvPr>
        <xdr:cNvSpPr/>
      </xdr:nvSpPr>
      <xdr:spPr>
        <a:xfrm>
          <a:off x="10197566" y="22835573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8</xdr:col>
      <xdr:colOff>98614</xdr:colOff>
      <xdr:row>110</xdr:row>
      <xdr:rowOff>180975</xdr:rowOff>
    </xdr:from>
    <xdr:to>
      <xdr:col>8</xdr:col>
      <xdr:colOff>965389</xdr:colOff>
      <xdr:row>110</xdr:row>
      <xdr:rowOff>257175</xdr:rowOff>
    </xdr:to>
    <xdr:sp macro="" textlink="">
      <xdr:nvSpPr>
        <xdr:cNvPr id="95" name="Retângulo de cantos arredondados 69">
          <a:extLst>
            <a:ext uri="{FF2B5EF4-FFF2-40B4-BE49-F238E27FC236}">
              <a16:creationId xmlns:a16="http://schemas.microsoft.com/office/drawing/2014/main" id="{4E196F16-76CD-4BD8-9DCA-28B860B6C837}"/>
            </a:ext>
          </a:extLst>
        </xdr:cNvPr>
        <xdr:cNvSpPr/>
      </xdr:nvSpPr>
      <xdr:spPr>
        <a:xfrm>
          <a:off x="10192873" y="19090229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8</xdr:col>
      <xdr:colOff>97452</xdr:colOff>
      <xdr:row>113</xdr:row>
      <xdr:rowOff>216878</xdr:rowOff>
    </xdr:from>
    <xdr:to>
      <xdr:col>8</xdr:col>
      <xdr:colOff>964227</xdr:colOff>
      <xdr:row>113</xdr:row>
      <xdr:rowOff>293078</xdr:rowOff>
    </xdr:to>
    <xdr:sp macro="" textlink="">
      <xdr:nvSpPr>
        <xdr:cNvPr id="96" name="Retângulo de cantos arredondados 70">
          <a:extLst>
            <a:ext uri="{FF2B5EF4-FFF2-40B4-BE49-F238E27FC236}">
              <a16:creationId xmlns:a16="http://schemas.microsoft.com/office/drawing/2014/main" id="{078CE8D5-A146-4038-B826-74BEBAED064D}"/>
            </a:ext>
          </a:extLst>
        </xdr:cNvPr>
        <xdr:cNvSpPr/>
      </xdr:nvSpPr>
      <xdr:spPr>
        <a:xfrm>
          <a:off x="10191711" y="19606640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8</xdr:col>
      <xdr:colOff>103314</xdr:colOff>
      <xdr:row>115</xdr:row>
      <xdr:rowOff>200759</xdr:rowOff>
    </xdr:from>
    <xdr:to>
      <xdr:col>8</xdr:col>
      <xdr:colOff>970089</xdr:colOff>
      <xdr:row>115</xdr:row>
      <xdr:rowOff>276959</xdr:rowOff>
    </xdr:to>
    <xdr:sp macro="" textlink="">
      <xdr:nvSpPr>
        <xdr:cNvPr id="97" name="Retângulo de cantos arredondados 71">
          <a:extLst>
            <a:ext uri="{FF2B5EF4-FFF2-40B4-BE49-F238E27FC236}">
              <a16:creationId xmlns:a16="http://schemas.microsoft.com/office/drawing/2014/main" id="{15D3D76B-5F33-4C76-8BBC-DF65929A2D2B}"/>
            </a:ext>
          </a:extLst>
        </xdr:cNvPr>
        <xdr:cNvSpPr/>
      </xdr:nvSpPr>
      <xdr:spPr>
        <a:xfrm>
          <a:off x="10197573" y="19946420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8</xdr:col>
      <xdr:colOff>106244</xdr:colOff>
      <xdr:row>117</xdr:row>
      <xdr:rowOff>203690</xdr:rowOff>
    </xdr:from>
    <xdr:to>
      <xdr:col>8</xdr:col>
      <xdr:colOff>973019</xdr:colOff>
      <xdr:row>117</xdr:row>
      <xdr:rowOff>279890</xdr:rowOff>
    </xdr:to>
    <xdr:sp macro="" textlink="">
      <xdr:nvSpPr>
        <xdr:cNvPr id="98" name="Retângulo de cantos arredondados 72">
          <a:extLst>
            <a:ext uri="{FF2B5EF4-FFF2-40B4-BE49-F238E27FC236}">
              <a16:creationId xmlns:a16="http://schemas.microsoft.com/office/drawing/2014/main" id="{B4217C96-7240-4E63-9F70-46C507A3344C}"/>
            </a:ext>
          </a:extLst>
        </xdr:cNvPr>
        <xdr:cNvSpPr/>
      </xdr:nvSpPr>
      <xdr:spPr>
        <a:xfrm>
          <a:off x="10200503" y="20282390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8</xdr:col>
      <xdr:colOff>97452</xdr:colOff>
      <xdr:row>119</xdr:row>
      <xdr:rowOff>216878</xdr:rowOff>
    </xdr:from>
    <xdr:to>
      <xdr:col>8</xdr:col>
      <xdr:colOff>964227</xdr:colOff>
      <xdr:row>119</xdr:row>
      <xdr:rowOff>293078</xdr:rowOff>
    </xdr:to>
    <xdr:sp macro="" textlink="">
      <xdr:nvSpPr>
        <xdr:cNvPr id="99" name="Retângulo de cantos arredondados 73">
          <a:extLst>
            <a:ext uri="{FF2B5EF4-FFF2-40B4-BE49-F238E27FC236}">
              <a16:creationId xmlns:a16="http://schemas.microsoft.com/office/drawing/2014/main" id="{03D4AA07-54E1-46A9-9D81-169C226F6416}"/>
            </a:ext>
          </a:extLst>
        </xdr:cNvPr>
        <xdr:cNvSpPr/>
      </xdr:nvSpPr>
      <xdr:spPr>
        <a:xfrm>
          <a:off x="10191711" y="20628617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8</xdr:col>
      <xdr:colOff>103314</xdr:colOff>
      <xdr:row>121</xdr:row>
      <xdr:rowOff>200759</xdr:rowOff>
    </xdr:from>
    <xdr:to>
      <xdr:col>8</xdr:col>
      <xdr:colOff>970089</xdr:colOff>
      <xdr:row>121</xdr:row>
      <xdr:rowOff>276959</xdr:rowOff>
    </xdr:to>
    <xdr:sp macro="" textlink="">
      <xdr:nvSpPr>
        <xdr:cNvPr id="100" name="Retângulo de cantos arredondados 74">
          <a:extLst>
            <a:ext uri="{FF2B5EF4-FFF2-40B4-BE49-F238E27FC236}">
              <a16:creationId xmlns:a16="http://schemas.microsoft.com/office/drawing/2014/main" id="{FF6980EA-E653-4E9D-A965-75AD304DDBA3}"/>
            </a:ext>
          </a:extLst>
        </xdr:cNvPr>
        <xdr:cNvSpPr/>
      </xdr:nvSpPr>
      <xdr:spPr>
        <a:xfrm>
          <a:off x="10197573" y="20968397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8</xdr:col>
      <xdr:colOff>103314</xdr:colOff>
      <xdr:row>123</xdr:row>
      <xdr:rowOff>200759</xdr:rowOff>
    </xdr:from>
    <xdr:to>
      <xdr:col>8</xdr:col>
      <xdr:colOff>970089</xdr:colOff>
      <xdr:row>123</xdr:row>
      <xdr:rowOff>276959</xdr:rowOff>
    </xdr:to>
    <xdr:sp macro="" textlink="">
      <xdr:nvSpPr>
        <xdr:cNvPr id="101" name="Retângulo de cantos arredondados 75">
          <a:extLst>
            <a:ext uri="{FF2B5EF4-FFF2-40B4-BE49-F238E27FC236}">
              <a16:creationId xmlns:a16="http://schemas.microsoft.com/office/drawing/2014/main" id="{DB112022-3B20-4082-AAEB-C7BAABBFCC46}"/>
            </a:ext>
          </a:extLst>
        </xdr:cNvPr>
        <xdr:cNvSpPr/>
      </xdr:nvSpPr>
      <xdr:spPr>
        <a:xfrm>
          <a:off x="10197573" y="21309055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8</xdr:col>
      <xdr:colOff>106244</xdr:colOff>
      <xdr:row>125</xdr:row>
      <xdr:rowOff>203690</xdr:rowOff>
    </xdr:from>
    <xdr:to>
      <xdr:col>8</xdr:col>
      <xdr:colOff>973019</xdr:colOff>
      <xdr:row>125</xdr:row>
      <xdr:rowOff>279890</xdr:rowOff>
    </xdr:to>
    <xdr:sp macro="" textlink="">
      <xdr:nvSpPr>
        <xdr:cNvPr id="102" name="Retângulo de cantos arredondados 76">
          <a:extLst>
            <a:ext uri="{FF2B5EF4-FFF2-40B4-BE49-F238E27FC236}">
              <a16:creationId xmlns:a16="http://schemas.microsoft.com/office/drawing/2014/main" id="{9E135AE3-6ED8-4C34-8215-552F5B42739C}"/>
            </a:ext>
          </a:extLst>
        </xdr:cNvPr>
        <xdr:cNvSpPr/>
      </xdr:nvSpPr>
      <xdr:spPr>
        <a:xfrm>
          <a:off x="10200503" y="21645025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8</xdr:col>
      <xdr:colOff>97452</xdr:colOff>
      <xdr:row>127</xdr:row>
      <xdr:rowOff>216878</xdr:rowOff>
    </xdr:from>
    <xdr:to>
      <xdr:col>8</xdr:col>
      <xdr:colOff>964227</xdr:colOff>
      <xdr:row>127</xdr:row>
      <xdr:rowOff>293078</xdr:rowOff>
    </xdr:to>
    <xdr:sp macro="" textlink="">
      <xdr:nvSpPr>
        <xdr:cNvPr id="103" name="Retângulo de cantos arredondados 77">
          <a:extLst>
            <a:ext uri="{FF2B5EF4-FFF2-40B4-BE49-F238E27FC236}">
              <a16:creationId xmlns:a16="http://schemas.microsoft.com/office/drawing/2014/main" id="{9037B7F8-EAEB-418E-8147-31F6A4958BF6}"/>
            </a:ext>
          </a:extLst>
        </xdr:cNvPr>
        <xdr:cNvSpPr/>
      </xdr:nvSpPr>
      <xdr:spPr>
        <a:xfrm>
          <a:off x="10191711" y="21991252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8</xdr:col>
      <xdr:colOff>84614</xdr:colOff>
      <xdr:row>108</xdr:row>
      <xdr:rowOff>176491</xdr:rowOff>
    </xdr:from>
    <xdr:to>
      <xdr:col>8</xdr:col>
      <xdr:colOff>951389</xdr:colOff>
      <xdr:row>108</xdr:row>
      <xdr:rowOff>252691</xdr:rowOff>
    </xdr:to>
    <xdr:sp macro="" textlink="">
      <xdr:nvSpPr>
        <xdr:cNvPr id="104" name="Retângulo de cantos arredondados 165">
          <a:extLst>
            <a:ext uri="{FF2B5EF4-FFF2-40B4-BE49-F238E27FC236}">
              <a16:creationId xmlns:a16="http://schemas.microsoft.com/office/drawing/2014/main" id="{C59717DE-E7D2-4AF6-8A2D-F79E23FB2112}"/>
            </a:ext>
          </a:extLst>
        </xdr:cNvPr>
        <xdr:cNvSpPr/>
      </xdr:nvSpPr>
      <xdr:spPr>
        <a:xfrm>
          <a:off x="10178873" y="18752706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106242</xdr:colOff>
      <xdr:row>65</xdr:row>
      <xdr:rowOff>203690</xdr:rowOff>
    </xdr:from>
    <xdr:to>
      <xdr:col>9</xdr:col>
      <xdr:colOff>973017</xdr:colOff>
      <xdr:row>65</xdr:row>
      <xdr:rowOff>279890</xdr:rowOff>
    </xdr:to>
    <xdr:sp macro="" textlink="">
      <xdr:nvSpPr>
        <xdr:cNvPr id="105" name="Retângulo de cantos arredondados 33">
          <a:extLst>
            <a:ext uri="{FF2B5EF4-FFF2-40B4-BE49-F238E27FC236}">
              <a16:creationId xmlns:a16="http://schemas.microsoft.com/office/drawing/2014/main" id="{4E4B7091-5145-440E-A05D-0504891E69D7}"/>
            </a:ext>
          </a:extLst>
        </xdr:cNvPr>
        <xdr:cNvSpPr/>
      </xdr:nvSpPr>
      <xdr:spPr>
        <a:xfrm>
          <a:off x="11733466" y="11425261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97450</xdr:colOff>
      <xdr:row>67</xdr:row>
      <xdr:rowOff>216878</xdr:rowOff>
    </xdr:from>
    <xdr:to>
      <xdr:col>9</xdr:col>
      <xdr:colOff>964225</xdr:colOff>
      <xdr:row>67</xdr:row>
      <xdr:rowOff>293078</xdr:rowOff>
    </xdr:to>
    <xdr:sp macro="" textlink="">
      <xdr:nvSpPr>
        <xdr:cNvPr id="106" name="Retângulo de cantos arredondados 34">
          <a:extLst>
            <a:ext uri="{FF2B5EF4-FFF2-40B4-BE49-F238E27FC236}">
              <a16:creationId xmlns:a16="http://schemas.microsoft.com/office/drawing/2014/main" id="{82A3C462-46D8-4BA5-A1F8-924BB7AB9822}"/>
            </a:ext>
          </a:extLst>
        </xdr:cNvPr>
        <xdr:cNvSpPr/>
      </xdr:nvSpPr>
      <xdr:spPr>
        <a:xfrm>
          <a:off x="11724674" y="11771487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103312</xdr:colOff>
      <xdr:row>69</xdr:row>
      <xdr:rowOff>200759</xdr:rowOff>
    </xdr:from>
    <xdr:to>
      <xdr:col>9</xdr:col>
      <xdr:colOff>970087</xdr:colOff>
      <xdr:row>69</xdr:row>
      <xdr:rowOff>276959</xdr:rowOff>
    </xdr:to>
    <xdr:sp macro="" textlink="">
      <xdr:nvSpPr>
        <xdr:cNvPr id="107" name="Retângulo de cantos arredondados 35">
          <a:extLst>
            <a:ext uri="{FF2B5EF4-FFF2-40B4-BE49-F238E27FC236}">
              <a16:creationId xmlns:a16="http://schemas.microsoft.com/office/drawing/2014/main" id="{F8685552-81AA-46BE-8DE9-BAB5CBD2DB22}"/>
            </a:ext>
          </a:extLst>
        </xdr:cNvPr>
        <xdr:cNvSpPr/>
      </xdr:nvSpPr>
      <xdr:spPr>
        <a:xfrm>
          <a:off x="11730536" y="12111267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10</xdr:col>
      <xdr:colOff>112107</xdr:colOff>
      <xdr:row>130</xdr:row>
      <xdr:rowOff>158263</xdr:rowOff>
    </xdr:from>
    <xdr:to>
      <xdr:col>10</xdr:col>
      <xdr:colOff>978882</xdr:colOff>
      <xdr:row>130</xdr:row>
      <xdr:rowOff>234463</xdr:rowOff>
    </xdr:to>
    <xdr:sp macro="" textlink="">
      <xdr:nvSpPr>
        <xdr:cNvPr id="108" name="Retângulo de cantos arredondados 36">
          <a:extLst>
            <a:ext uri="{FF2B5EF4-FFF2-40B4-BE49-F238E27FC236}">
              <a16:creationId xmlns:a16="http://schemas.microsoft.com/office/drawing/2014/main" id="{6CD00ABE-9DD9-4677-AF78-56FFC1D6BB02}"/>
            </a:ext>
          </a:extLst>
        </xdr:cNvPr>
        <xdr:cNvSpPr/>
      </xdr:nvSpPr>
      <xdr:spPr>
        <a:xfrm>
          <a:off x="13308154" y="22489345"/>
          <a:ext cx="866775" cy="762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10</xdr:col>
      <xdr:colOff>103307</xdr:colOff>
      <xdr:row>132</xdr:row>
      <xdr:rowOff>171452</xdr:rowOff>
    </xdr:from>
    <xdr:to>
      <xdr:col>10</xdr:col>
      <xdr:colOff>970082</xdr:colOff>
      <xdr:row>132</xdr:row>
      <xdr:rowOff>247652</xdr:rowOff>
    </xdr:to>
    <xdr:sp macro="" textlink="">
      <xdr:nvSpPr>
        <xdr:cNvPr id="109" name="Retângulo de cantos arredondados 37">
          <a:extLst>
            <a:ext uri="{FF2B5EF4-FFF2-40B4-BE49-F238E27FC236}">
              <a16:creationId xmlns:a16="http://schemas.microsoft.com/office/drawing/2014/main" id="{4810FC88-12CB-4156-A942-525BB73C0E18}"/>
            </a:ext>
          </a:extLst>
        </xdr:cNvPr>
        <xdr:cNvSpPr/>
      </xdr:nvSpPr>
      <xdr:spPr>
        <a:xfrm>
          <a:off x="13299354" y="22835573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111501</xdr:colOff>
      <xdr:row>61</xdr:row>
      <xdr:rowOff>180975</xdr:rowOff>
    </xdr:from>
    <xdr:to>
      <xdr:col>9</xdr:col>
      <xdr:colOff>978276</xdr:colOff>
      <xdr:row>61</xdr:row>
      <xdr:rowOff>257175</xdr:rowOff>
    </xdr:to>
    <xdr:sp macro="" textlink="">
      <xdr:nvSpPr>
        <xdr:cNvPr id="110" name="Retângulo de cantos arredondados 49">
          <a:extLst>
            <a:ext uri="{FF2B5EF4-FFF2-40B4-BE49-F238E27FC236}">
              <a16:creationId xmlns:a16="http://schemas.microsoft.com/office/drawing/2014/main" id="{D906A301-0DA2-41F3-9992-CC4FFF60862E}"/>
            </a:ext>
          </a:extLst>
        </xdr:cNvPr>
        <xdr:cNvSpPr/>
      </xdr:nvSpPr>
      <xdr:spPr>
        <a:xfrm>
          <a:off x="11738725" y="10744088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121026</xdr:colOff>
      <xdr:row>63</xdr:row>
      <xdr:rowOff>180975</xdr:rowOff>
    </xdr:from>
    <xdr:to>
      <xdr:col>9</xdr:col>
      <xdr:colOff>987801</xdr:colOff>
      <xdr:row>63</xdr:row>
      <xdr:rowOff>257175</xdr:rowOff>
    </xdr:to>
    <xdr:sp macro="" textlink="">
      <xdr:nvSpPr>
        <xdr:cNvPr id="111" name="Retângulo de cantos arredondados 50">
          <a:extLst>
            <a:ext uri="{FF2B5EF4-FFF2-40B4-BE49-F238E27FC236}">
              <a16:creationId xmlns:a16="http://schemas.microsoft.com/office/drawing/2014/main" id="{E245D3F4-0FD7-442E-9EBF-DE44A9784C7B}"/>
            </a:ext>
          </a:extLst>
        </xdr:cNvPr>
        <xdr:cNvSpPr/>
      </xdr:nvSpPr>
      <xdr:spPr>
        <a:xfrm>
          <a:off x="11748250" y="11084747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106242</xdr:colOff>
      <xdr:row>71</xdr:row>
      <xdr:rowOff>203690</xdr:rowOff>
    </xdr:from>
    <xdr:to>
      <xdr:col>9</xdr:col>
      <xdr:colOff>973017</xdr:colOff>
      <xdr:row>71</xdr:row>
      <xdr:rowOff>279890</xdr:rowOff>
    </xdr:to>
    <xdr:sp macro="" textlink="">
      <xdr:nvSpPr>
        <xdr:cNvPr id="112" name="Retângulo de cantos arredondados 51">
          <a:extLst>
            <a:ext uri="{FF2B5EF4-FFF2-40B4-BE49-F238E27FC236}">
              <a16:creationId xmlns:a16="http://schemas.microsoft.com/office/drawing/2014/main" id="{284FAF06-0658-4421-A259-281EE20777AB}"/>
            </a:ext>
          </a:extLst>
        </xdr:cNvPr>
        <xdr:cNvSpPr/>
      </xdr:nvSpPr>
      <xdr:spPr>
        <a:xfrm>
          <a:off x="11733466" y="12447237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97450</xdr:colOff>
      <xdr:row>73</xdr:row>
      <xdr:rowOff>216878</xdr:rowOff>
    </xdr:from>
    <xdr:to>
      <xdr:col>9</xdr:col>
      <xdr:colOff>964225</xdr:colOff>
      <xdr:row>73</xdr:row>
      <xdr:rowOff>293078</xdr:rowOff>
    </xdr:to>
    <xdr:sp macro="" textlink="">
      <xdr:nvSpPr>
        <xdr:cNvPr id="113" name="Retângulo de cantos arredondados 52">
          <a:extLst>
            <a:ext uri="{FF2B5EF4-FFF2-40B4-BE49-F238E27FC236}">
              <a16:creationId xmlns:a16="http://schemas.microsoft.com/office/drawing/2014/main" id="{C37488F1-4D53-4AF5-8615-264E41E53AF8}"/>
            </a:ext>
          </a:extLst>
        </xdr:cNvPr>
        <xdr:cNvSpPr/>
      </xdr:nvSpPr>
      <xdr:spPr>
        <a:xfrm>
          <a:off x="11724674" y="12793464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103312</xdr:colOff>
      <xdr:row>75</xdr:row>
      <xdr:rowOff>200759</xdr:rowOff>
    </xdr:from>
    <xdr:to>
      <xdr:col>9</xdr:col>
      <xdr:colOff>970087</xdr:colOff>
      <xdr:row>75</xdr:row>
      <xdr:rowOff>276959</xdr:rowOff>
    </xdr:to>
    <xdr:sp macro="" textlink="">
      <xdr:nvSpPr>
        <xdr:cNvPr id="114" name="Retângulo de cantos arredondados 53">
          <a:extLst>
            <a:ext uri="{FF2B5EF4-FFF2-40B4-BE49-F238E27FC236}">
              <a16:creationId xmlns:a16="http://schemas.microsoft.com/office/drawing/2014/main" id="{85ED4F06-CDD7-4E9D-A019-CEFB701AB410}"/>
            </a:ext>
          </a:extLst>
        </xdr:cNvPr>
        <xdr:cNvSpPr/>
      </xdr:nvSpPr>
      <xdr:spPr>
        <a:xfrm>
          <a:off x="11730536" y="13133244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106242</xdr:colOff>
      <xdr:row>82</xdr:row>
      <xdr:rowOff>181279</xdr:rowOff>
    </xdr:from>
    <xdr:to>
      <xdr:col>9</xdr:col>
      <xdr:colOff>973017</xdr:colOff>
      <xdr:row>82</xdr:row>
      <xdr:rowOff>257479</xdr:rowOff>
    </xdr:to>
    <xdr:sp macro="" textlink="">
      <xdr:nvSpPr>
        <xdr:cNvPr id="115" name="Retângulo de cantos arredondados 54">
          <a:extLst>
            <a:ext uri="{FF2B5EF4-FFF2-40B4-BE49-F238E27FC236}">
              <a16:creationId xmlns:a16="http://schemas.microsoft.com/office/drawing/2014/main" id="{763D43B8-3A4E-4FC2-8B5B-E5549A1D92EF}"/>
            </a:ext>
          </a:extLst>
        </xdr:cNvPr>
        <xdr:cNvSpPr/>
      </xdr:nvSpPr>
      <xdr:spPr>
        <a:xfrm>
          <a:off x="11733466" y="14321310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97450</xdr:colOff>
      <xdr:row>84</xdr:row>
      <xdr:rowOff>216878</xdr:rowOff>
    </xdr:from>
    <xdr:to>
      <xdr:col>9</xdr:col>
      <xdr:colOff>964225</xdr:colOff>
      <xdr:row>84</xdr:row>
      <xdr:rowOff>293078</xdr:rowOff>
    </xdr:to>
    <xdr:sp macro="" textlink="">
      <xdr:nvSpPr>
        <xdr:cNvPr id="116" name="Retângulo de cantos arredondados 55">
          <a:extLst>
            <a:ext uri="{FF2B5EF4-FFF2-40B4-BE49-F238E27FC236}">
              <a16:creationId xmlns:a16="http://schemas.microsoft.com/office/drawing/2014/main" id="{3A7B0D87-7686-4BDC-857D-2B9EF0E83025}"/>
            </a:ext>
          </a:extLst>
        </xdr:cNvPr>
        <xdr:cNvSpPr/>
      </xdr:nvSpPr>
      <xdr:spPr>
        <a:xfrm>
          <a:off x="11724674" y="14667087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103312</xdr:colOff>
      <xdr:row>86</xdr:row>
      <xdr:rowOff>200759</xdr:rowOff>
    </xdr:from>
    <xdr:to>
      <xdr:col>9</xdr:col>
      <xdr:colOff>970087</xdr:colOff>
      <xdr:row>86</xdr:row>
      <xdr:rowOff>276959</xdr:rowOff>
    </xdr:to>
    <xdr:sp macro="" textlink="">
      <xdr:nvSpPr>
        <xdr:cNvPr id="117" name="Retângulo de cantos arredondados 56">
          <a:extLst>
            <a:ext uri="{FF2B5EF4-FFF2-40B4-BE49-F238E27FC236}">
              <a16:creationId xmlns:a16="http://schemas.microsoft.com/office/drawing/2014/main" id="{F9EA8793-B130-4450-BEC3-70BF405DB4A8}"/>
            </a:ext>
          </a:extLst>
        </xdr:cNvPr>
        <xdr:cNvSpPr/>
      </xdr:nvSpPr>
      <xdr:spPr>
        <a:xfrm>
          <a:off x="11730536" y="15006867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100296</xdr:colOff>
      <xdr:row>78</xdr:row>
      <xdr:rowOff>180975</xdr:rowOff>
    </xdr:from>
    <xdr:to>
      <xdr:col>9</xdr:col>
      <xdr:colOff>967071</xdr:colOff>
      <xdr:row>78</xdr:row>
      <xdr:rowOff>257175</xdr:rowOff>
    </xdr:to>
    <xdr:sp macro="" textlink="">
      <xdr:nvSpPr>
        <xdr:cNvPr id="118" name="Retângulo de cantos arredondados 57">
          <a:extLst>
            <a:ext uri="{FF2B5EF4-FFF2-40B4-BE49-F238E27FC236}">
              <a16:creationId xmlns:a16="http://schemas.microsoft.com/office/drawing/2014/main" id="{1DF95D92-CFA6-4514-AA0B-CD84BE44736F}"/>
            </a:ext>
          </a:extLst>
        </xdr:cNvPr>
        <xdr:cNvSpPr/>
      </xdr:nvSpPr>
      <xdr:spPr>
        <a:xfrm>
          <a:off x="11727520" y="13639688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109821</xdr:colOff>
      <xdr:row>80</xdr:row>
      <xdr:rowOff>180975</xdr:rowOff>
    </xdr:from>
    <xdr:to>
      <xdr:col>9</xdr:col>
      <xdr:colOff>976596</xdr:colOff>
      <xdr:row>80</xdr:row>
      <xdr:rowOff>257175</xdr:rowOff>
    </xdr:to>
    <xdr:sp macro="" textlink="">
      <xdr:nvSpPr>
        <xdr:cNvPr id="119" name="Retângulo de cantos arredondados 58">
          <a:extLst>
            <a:ext uri="{FF2B5EF4-FFF2-40B4-BE49-F238E27FC236}">
              <a16:creationId xmlns:a16="http://schemas.microsoft.com/office/drawing/2014/main" id="{A85008A4-7D83-4674-B68F-5F31684E2464}"/>
            </a:ext>
          </a:extLst>
        </xdr:cNvPr>
        <xdr:cNvSpPr/>
      </xdr:nvSpPr>
      <xdr:spPr>
        <a:xfrm>
          <a:off x="11737045" y="13980347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106242</xdr:colOff>
      <xdr:row>88</xdr:row>
      <xdr:rowOff>203690</xdr:rowOff>
    </xdr:from>
    <xdr:to>
      <xdr:col>9</xdr:col>
      <xdr:colOff>973017</xdr:colOff>
      <xdr:row>88</xdr:row>
      <xdr:rowOff>279890</xdr:rowOff>
    </xdr:to>
    <xdr:sp macro="" textlink="">
      <xdr:nvSpPr>
        <xdr:cNvPr id="120" name="Retângulo de cantos arredondados 59">
          <a:extLst>
            <a:ext uri="{FF2B5EF4-FFF2-40B4-BE49-F238E27FC236}">
              <a16:creationId xmlns:a16="http://schemas.microsoft.com/office/drawing/2014/main" id="{C139966B-80A5-48D1-B418-34CE81BE772C}"/>
            </a:ext>
          </a:extLst>
        </xdr:cNvPr>
        <xdr:cNvSpPr/>
      </xdr:nvSpPr>
      <xdr:spPr>
        <a:xfrm>
          <a:off x="11733466" y="15342837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97450</xdr:colOff>
      <xdr:row>90</xdr:row>
      <xdr:rowOff>216878</xdr:rowOff>
    </xdr:from>
    <xdr:to>
      <xdr:col>9</xdr:col>
      <xdr:colOff>964225</xdr:colOff>
      <xdr:row>90</xdr:row>
      <xdr:rowOff>293078</xdr:rowOff>
    </xdr:to>
    <xdr:sp macro="" textlink="">
      <xdr:nvSpPr>
        <xdr:cNvPr id="121" name="Retângulo de cantos arredondados 60">
          <a:extLst>
            <a:ext uri="{FF2B5EF4-FFF2-40B4-BE49-F238E27FC236}">
              <a16:creationId xmlns:a16="http://schemas.microsoft.com/office/drawing/2014/main" id="{E8683F27-8BF9-4D38-81B2-2EF743399D4C}"/>
            </a:ext>
          </a:extLst>
        </xdr:cNvPr>
        <xdr:cNvSpPr/>
      </xdr:nvSpPr>
      <xdr:spPr>
        <a:xfrm>
          <a:off x="11724674" y="15689064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103312</xdr:colOff>
      <xdr:row>92</xdr:row>
      <xdr:rowOff>200759</xdr:rowOff>
    </xdr:from>
    <xdr:to>
      <xdr:col>9</xdr:col>
      <xdr:colOff>970087</xdr:colOff>
      <xdr:row>92</xdr:row>
      <xdr:rowOff>276959</xdr:rowOff>
    </xdr:to>
    <xdr:sp macro="" textlink="">
      <xdr:nvSpPr>
        <xdr:cNvPr id="122" name="Retângulo de cantos arredondados 61">
          <a:extLst>
            <a:ext uri="{FF2B5EF4-FFF2-40B4-BE49-F238E27FC236}">
              <a16:creationId xmlns:a16="http://schemas.microsoft.com/office/drawing/2014/main" id="{F0C6ADE2-6FF5-405E-BB2E-EBF24A822CE6}"/>
            </a:ext>
          </a:extLst>
        </xdr:cNvPr>
        <xdr:cNvSpPr/>
      </xdr:nvSpPr>
      <xdr:spPr>
        <a:xfrm>
          <a:off x="11730536" y="16028844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103312</xdr:colOff>
      <xdr:row>94</xdr:row>
      <xdr:rowOff>200759</xdr:rowOff>
    </xdr:from>
    <xdr:to>
      <xdr:col>9</xdr:col>
      <xdr:colOff>970087</xdr:colOff>
      <xdr:row>94</xdr:row>
      <xdr:rowOff>276959</xdr:rowOff>
    </xdr:to>
    <xdr:sp macro="" textlink="">
      <xdr:nvSpPr>
        <xdr:cNvPr id="123" name="Retângulo de cantos arredondados 62">
          <a:extLst>
            <a:ext uri="{FF2B5EF4-FFF2-40B4-BE49-F238E27FC236}">
              <a16:creationId xmlns:a16="http://schemas.microsoft.com/office/drawing/2014/main" id="{D9E44047-8A72-466B-86B7-F2C06168E202}"/>
            </a:ext>
          </a:extLst>
        </xdr:cNvPr>
        <xdr:cNvSpPr/>
      </xdr:nvSpPr>
      <xdr:spPr>
        <a:xfrm>
          <a:off x="11730536" y="16369503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106242</xdr:colOff>
      <xdr:row>96</xdr:row>
      <xdr:rowOff>203690</xdr:rowOff>
    </xdr:from>
    <xdr:to>
      <xdr:col>9</xdr:col>
      <xdr:colOff>973017</xdr:colOff>
      <xdr:row>96</xdr:row>
      <xdr:rowOff>279890</xdr:rowOff>
    </xdr:to>
    <xdr:sp macro="" textlink="">
      <xdr:nvSpPr>
        <xdr:cNvPr id="124" name="Retângulo de cantos arredondados 63">
          <a:extLst>
            <a:ext uri="{FF2B5EF4-FFF2-40B4-BE49-F238E27FC236}">
              <a16:creationId xmlns:a16="http://schemas.microsoft.com/office/drawing/2014/main" id="{9E43B4B6-9E4D-46DA-90A6-B3A00B0543E1}"/>
            </a:ext>
          </a:extLst>
        </xdr:cNvPr>
        <xdr:cNvSpPr/>
      </xdr:nvSpPr>
      <xdr:spPr>
        <a:xfrm>
          <a:off x="11733466" y="16705472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97450</xdr:colOff>
      <xdr:row>98</xdr:row>
      <xdr:rowOff>216878</xdr:rowOff>
    </xdr:from>
    <xdr:to>
      <xdr:col>9</xdr:col>
      <xdr:colOff>964225</xdr:colOff>
      <xdr:row>98</xdr:row>
      <xdr:rowOff>293078</xdr:rowOff>
    </xdr:to>
    <xdr:sp macro="" textlink="">
      <xdr:nvSpPr>
        <xdr:cNvPr id="125" name="Retângulo de cantos arredondados 64">
          <a:extLst>
            <a:ext uri="{FF2B5EF4-FFF2-40B4-BE49-F238E27FC236}">
              <a16:creationId xmlns:a16="http://schemas.microsoft.com/office/drawing/2014/main" id="{09D22E85-1FA7-4DFE-9228-38FD5CF0CE28}"/>
            </a:ext>
          </a:extLst>
        </xdr:cNvPr>
        <xdr:cNvSpPr/>
      </xdr:nvSpPr>
      <xdr:spPr>
        <a:xfrm>
          <a:off x="11724674" y="17051699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103312</xdr:colOff>
      <xdr:row>100</xdr:row>
      <xdr:rowOff>200759</xdr:rowOff>
    </xdr:from>
    <xdr:to>
      <xdr:col>9</xdr:col>
      <xdr:colOff>970087</xdr:colOff>
      <xdr:row>100</xdr:row>
      <xdr:rowOff>276959</xdr:rowOff>
    </xdr:to>
    <xdr:sp macro="" textlink="">
      <xdr:nvSpPr>
        <xdr:cNvPr id="126" name="Retângulo de cantos arredondados 65">
          <a:extLst>
            <a:ext uri="{FF2B5EF4-FFF2-40B4-BE49-F238E27FC236}">
              <a16:creationId xmlns:a16="http://schemas.microsoft.com/office/drawing/2014/main" id="{75089FE8-3650-453F-9CF6-F15B7EC12E5C}"/>
            </a:ext>
          </a:extLst>
        </xdr:cNvPr>
        <xdr:cNvSpPr/>
      </xdr:nvSpPr>
      <xdr:spPr>
        <a:xfrm>
          <a:off x="11730536" y="17391479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100297</xdr:colOff>
      <xdr:row>108</xdr:row>
      <xdr:rowOff>180975</xdr:rowOff>
    </xdr:from>
    <xdr:to>
      <xdr:col>9</xdr:col>
      <xdr:colOff>967072</xdr:colOff>
      <xdr:row>108</xdr:row>
      <xdr:rowOff>257175</xdr:rowOff>
    </xdr:to>
    <xdr:sp macro="" textlink="">
      <xdr:nvSpPr>
        <xdr:cNvPr id="127" name="Retângulo de cantos arredondados 68">
          <a:extLst>
            <a:ext uri="{FF2B5EF4-FFF2-40B4-BE49-F238E27FC236}">
              <a16:creationId xmlns:a16="http://schemas.microsoft.com/office/drawing/2014/main" id="{4717AA61-53E9-4013-AE51-DE9067D8385C}"/>
            </a:ext>
          </a:extLst>
        </xdr:cNvPr>
        <xdr:cNvSpPr/>
      </xdr:nvSpPr>
      <xdr:spPr>
        <a:xfrm>
          <a:off x="11727521" y="18749570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10</xdr:col>
      <xdr:colOff>98614</xdr:colOff>
      <xdr:row>110</xdr:row>
      <xdr:rowOff>180975</xdr:rowOff>
    </xdr:from>
    <xdr:to>
      <xdr:col>10</xdr:col>
      <xdr:colOff>965389</xdr:colOff>
      <xdr:row>110</xdr:row>
      <xdr:rowOff>257175</xdr:rowOff>
    </xdr:to>
    <xdr:sp macro="" textlink="">
      <xdr:nvSpPr>
        <xdr:cNvPr id="128" name="Retângulo de cantos arredondados 69">
          <a:extLst>
            <a:ext uri="{FF2B5EF4-FFF2-40B4-BE49-F238E27FC236}">
              <a16:creationId xmlns:a16="http://schemas.microsoft.com/office/drawing/2014/main" id="{2BC534A2-940B-438F-91AE-16F5AF519349}"/>
            </a:ext>
          </a:extLst>
        </xdr:cNvPr>
        <xdr:cNvSpPr/>
      </xdr:nvSpPr>
      <xdr:spPr>
        <a:xfrm>
          <a:off x="13294661" y="19090229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10</xdr:col>
      <xdr:colOff>97452</xdr:colOff>
      <xdr:row>113</xdr:row>
      <xdr:rowOff>216878</xdr:rowOff>
    </xdr:from>
    <xdr:to>
      <xdr:col>10</xdr:col>
      <xdr:colOff>964227</xdr:colOff>
      <xdr:row>113</xdr:row>
      <xdr:rowOff>293078</xdr:rowOff>
    </xdr:to>
    <xdr:sp macro="" textlink="">
      <xdr:nvSpPr>
        <xdr:cNvPr id="129" name="Retângulo de cantos arredondados 70">
          <a:extLst>
            <a:ext uri="{FF2B5EF4-FFF2-40B4-BE49-F238E27FC236}">
              <a16:creationId xmlns:a16="http://schemas.microsoft.com/office/drawing/2014/main" id="{36CFE725-49FD-41C6-A117-4BC1F0424D7F}"/>
            </a:ext>
          </a:extLst>
        </xdr:cNvPr>
        <xdr:cNvSpPr/>
      </xdr:nvSpPr>
      <xdr:spPr>
        <a:xfrm>
          <a:off x="13293499" y="19606640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10</xdr:col>
      <xdr:colOff>103314</xdr:colOff>
      <xdr:row>115</xdr:row>
      <xdr:rowOff>200759</xdr:rowOff>
    </xdr:from>
    <xdr:to>
      <xdr:col>10</xdr:col>
      <xdr:colOff>970089</xdr:colOff>
      <xdr:row>115</xdr:row>
      <xdr:rowOff>276959</xdr:rowOff>
    </xdr:to>
    <xdr:sp macro="" textlink="">
      <xdr:nvSpPr>
        <xdr:cNvPr id="130" name="Retângulo de cantos arredondados 71">
          <a:extLst>
            <a:ext uri="{FF2B5EF4-FFF2-40B4-BE49-F238E27FC236}">
              <a16:creationId xmlns:a16="http://schemas.microsoft.com/office/drawing/2014/main" id="{4515BD49-8D24-4676-B0CD-A698152FAD83}"/>
            </a:ext>
          </a:extLst>
        </xdr:cNvPr>
        <xdr:cNvSpPr/>
      </xdr:nvSpPr>
      <xdr:spPr>
        <a:xfrm>
          <a:off x="13299361" y="19946420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10</xdr:col>
      <xdr:colOff>106244</xdr:colOff>
      <xdr:row>117</xdr:row>
      <xdr:rowOff>203690</xdr:rowOff>
    </xdr:from>
    <xdr:to>
      <xdr:col>10</xdr:col>
      <xdr:colOff>973019</xdr:colOff>
      <xdr:row>117</xdr:row>
      <xdr:rowOff>279890</xdr:rowOff>
    </xdr:to>
    <xdr:sp macro="" textlink="">
      <xdr:nvSpPr>
        <xdr:cNvPr id="131" name="Retângulo de cantos arredondados 72">
          <a:extLst>
            <a:ext uri="{FF2B5EF4-FFF2-40B4-BE49-F238E27FC236}">
              <a16:creationId xmlns:a16="http://schemas.microsoft.com/office/drawing/2014/main" id="{C85B0DA5-9543-47C3-B3D4-52A854830931}"/>
            </a:ext>
          </a:extLst>
        </xdr:cNvPr>
        <xdr:cNvSpPr/>
      </xdr:nvSpPr>
      <xdr:spPr>
        <a:xfrm>
          <a:off x="13302291" y="20282390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10</xdr:col>
      <xdr:colOff>97452</xdr:colOff>
      <xdr:row>119</xdr:row>
      <xdr:rowOff>216878</xdr:rowOff>
    </xdr:from>
    <xdr:to>
      <xdr:col>10</xdr:col>
      <xdr:colOff>964227</xdr:colOff>
      <xdr:row>119</xdr:row>
      <xdr:rowOff>293078</xdr:rowOff>
    </xdr:to>
    <xdr:sp macro="" textlink="">
      <xdr:nvSpPr>
        <xdr:cNvPr id="132" name="Retângulo de cantos arredondados 73">
          <a:extLst>
            <a:ext uri="{FF2B5EF4-FFF2-40B4-BE49-F238E27FC236}">
              <a16:creationId xmlns:a16="http://schemas.microsoft.com/office/drawing/2014/main" id="{718382D0-E4E7-46C6-BC6C-E6A4D18750BB}"/>
            </a:ext>
          </a:extLst>
        </xdr:cNvPr>
        <xdr:cNvSpPr/>
      </xdr:nvSpPr>
      <xdr:spPr>
        <a:xfrm>
          <a:off x="13293499" y="20628617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10</xdr:col>
      <xdr:colOff>103314</xdr:colOff>
      <xdr:row>121</xdr:row>
      <xdr:rowOff>200759</xdr:rowOff>
    </xdr:from>
    <xdr:to>
      <xdr:col>10</xdr:col>
      <xdr:colOff>970089</xdr:colOff>
      <xdr:row>121</xdr:row>
      <xdr:rowOff>276959</xdr:rowOff>
    </xdr:to>
    <xdr:sp macro="" textlink="">
      <xdr:nvSpPr>
        <xdr:cNvPr id="133" name="Retângulo de cantos arredondados 74">
          <a:extLst>
            <a:ext uri="{FF2B5EF4-FFF2-40B4-BE49-F238E27FC236}">
              <a16:creationId xmlns:a16="http://schemas.microsoft.com/office/drawing/2014/main" id="{DD29FDD2-8320-4EDE-A4FA-8950A8A7EB6F}"/>
            </a:ext>
          </a:extLst>
        </xdr:cNvPr>
        <xdr:cNvSpPr/>
      </xdr:nvSpPr>
      <xdr:spPr>
        <a:xfrm>
          <a:off x="13299361" y="20968397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10</xdr:col>
      <xdr:colOff>103314</xdr:colOff>
      <xdr:row>123</xdr:row>
      <xdr:rowOff>200759</xdr:rowOff>
    </xdr:from>
    <xdr:to>
      <xdr:col>10</xdr:col>
      <xdr:colOff>970089</xdr:colOff>
      <xdr:row>123</xdr:row>
      <xdr:rowOff>276959</xdr:rowOff>
    </xdr:to>
    <xdr:sp macro="" textlink="">
      <xdr:nvSpPr>
        <xdr:cNvPr id="134" name="Retângulo de cantos arredondados 75">
          <a:extLst>
            <a:ext uri="{FF2B5EF4-FFF2-40B4-BE49-F238E27FC236}">
              <a16:creationId xmlns:a16="http://schemas.microsoft.com/office/drawing/2014/main" id="{856989EA-B626-407B-AAB0-1FB5592E5D95}"/>
            </a:ext>
          </a:extLst>
        </xdr:cNvPr>
        <xdr:cNvSpPr/>
      </xdr:nvSpPr>
      <xdr:spPr>
        <a:xfrm>
          <a:off x="13299361" y="21309055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10</xdr:col>
      <xdr:colOff>106244</xdr:colOff>
      <xdr:row>125</xdr:row>
      <xdr:rowOff>203690</xdr:rowOff>
    </xdr:from>
    <xdr:to>
      <xdr:col>10</xdr:col>
      <xdr:colOff>973019</xdr:colOff>
      <xdr:row>125</xdr:row>
      <xdr:rowOff>279890</xdr:rowOff>
    </xdr:to>
    <xdr:sp macro="" textlink="">
      <xdr:nvSpPr>
        <xdr:cNvPr id="135" name="Retângulo de cantos arredondados 76">
          <a:extLst>
            <a:ext uri="{FF2B5EF4-FFF2-40B4-BE49-F238E27FC236}">
              <a16:creationId xmlns:a16="http://schemas.microsoft.com/office/drawing/2014/main" id="{C564CD77-7DC5-4484-B56E-FE8F3DB8DE2F}"/>
            </a:ext>
          </a:extLst>
        </xdr:cNvPr>
        <xdr:cNvSpPr/>
      </xdr:nvSpPr>
      <xdr:spPr>
        <a:xfrm>
          <a:off x="13302291" y="21645025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10</xdr:col>
      <xdr:colOff>97452</xdr:colOff>
      <xdr:row>127</xdr:row>
      <xdr:rowOff>216878</xdr:rowOff>
    </xdr:from>
    <xdr:to>
      <xdr:col>10</xdr:col>
      <xdr:colOff>964227</xdr:colOff>
      <xdr:row>127</xdr:row>
      <xdr:rowOff>293078</xdr:rowOff>
    </xdr:to>
    <xdr:sp macro="" textlink="">
      <xdr:nvSpPr>
        <xdr:cNvPr id="136" name="Retângulo de cantos arredondados 77">
          <a:extLst>
            <a:ext uri="{FF2B5EF4-FFF2-40B4-BE49-F238E27FC236}">
              <a16:creationId xmlns:a16="http://schemas.microsoft.com/office/drawing/2014/main" id="{8841DF36-05AB-45A2-93DF-F038CCD95490}"/>
            </a:ext>
          </a:extLst>
        </xdr:cNvPr>
        <xdr:cNvSpPr/>
      </xdr:nvSpPr>
      <xdr:spPr>
        <a:xfrm>
          <a:off x="13293499" y="21991252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105338</xdr:colOff>
      <xdr:row>110</xdr:row>
      <xdr:rowOff>176492</xdr:rowOff>
    </xdr:from>
    <xdr:to>
      <xdr:col>9</xdr:col>
      <xdr:colOff>972113</xdr:colOff>
      <xdr:row>110</xdr:row>
      <xdr:rowOff>252692</xdr:rowOff>
    </xdr:to>
    <xdr:sp macro="" textlink="">
      <xdr:nvSpPr>
        <xdr:cNvPr id="137" name="Retângulo de cantos arredondados 164">
          <a:extLst>
            <a:ext uri="{FF2B5EF4-FFF2-40B4-BE49-F238E27FC236}">
              <a16:creationId xmlns:a16="http://schemas.microsoft.com/office/drawing/2014/main" id="{FA2FEC37-FCE8-4955-9580-826E769C119C}"/>
            </a:ext>
          </a:extLst>
        </xdr:cNvPr>
        <xdr:cNvSpPr/>
      </xdr:nvSpPr>
      <xdr:spPr>
        <a:xfrm>
          <a:off x="11732562" y="19093366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10</xdr:col>
      <xdr:colOff>84614</xdr:colOff>
      <xdr:row>108</xdr:row>
      <xdr:rowOff>176491</xdr:rowOff>
    </xdr:from>
    <xdr:to>
      <xdr:col>10</xdr:col>
      <xdr:colOff>951389</xdr:colOff>
      <xdr:row>108</xdr:row>
      <xdr:rowOff>252691</xdr:rowOff>
    </xdr:to>
    <xdr:sp macro="" textlink="">
      <xdr:nvSpPr>
        <xdr:cNvPr id="138" name="Retângulo de cantos arredondados 165">
          <a:extLst>
            <a:ext uri="{FF2B5EF4-FFF2-40B4-BE49-F238E27FC236}">
              <a16:creationId xmlns:a16="http://schemas.microsoft.com/office/drawing/2014/main" id="{C2C26BEA-55E3-4E25-9842-3E772ED3F0D2}"/>
            </a:ext>
          </a:extLst>
        </xdr:cNvPr>
        <xdr:cNvSpPr/>
      </xdr:nvSpPr>
      <xdr:spPr>
        <a:xfrm>
          <a:off x="13280661" y="18752706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104173</xdr:colOff>
      <xdr:row>113</xdr:row>
      <xdr:rowOff>212394</xdr:rowOff>
    </xdr:from>
    <xdr:to>
      <xdr:col>9</xdr:col>
      <xdr:colOff>970948</xdr:colOff>
      <xdr:row>113</xdr:row>
      <xdr:rowOff>288594</xdr:rowOff>
    </xdr:to>
    <xdr:sp macro="" textlink="">
      <xdr:nvSpPr>
        <xdr:cNvPr id="139" name="Retângulo de cantos arredondados 168">
          <a:extLst>
            <a:ext uri="{FF2B5EF4-FFF2-40B4-BE49-F238E27FC236}">
              <a16:creationId xmlns:a16="http://schemas.microsoft.com/office/drawing/2014/main" id="{50E58010-B526-43A1-AA61-229D22AF9E4D}"/>
            </a:ext>
          </a:extLst>
        </xdr:cNvPr>
        <xdr:cNvSpPr/>
      </xdr:nvSpPr>
      <xdr:spPr>
        <a:xfrm>
          <a:off x="11731397" y="19602156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110035</xdr:colOff>
      <xdr:row>115</xdr:row>
      <xdr:rowOff>196275</xdr:rowOff>
    </xdr:from>
    <xdr:to>
      <xdr:col>9</xdr:col>
      <xdr:colOff>976810</xdr:colOff>
      <xdr:row>115</xdr:row>
      <xdr:rowOff>272475</xdr:rowOff>
    </xdr:to>
    <xdr:sp macro="" textlink="">
      <xdr:nvSpPr>
        <xdr:cNvPr id="140" name="Retângulo de cantos arredondados 169">
          <a:extLst>
            <a:ext uri="{FF2B5EF4-FFF2-40B4-BE49-F238E27FC236}">
              <a16:creationId xmlns:a16="http://schemas.microsoft.com/office/drawing/2014/main" id="{7F0D9526-434A-4C46-814C-36154606EE17}"/>
            </a:ext>
          </a:extLst>
        </xdr:cNvPr>
        <xdr:cNvSpPr/>
      </xdr:nvSpPr>
      <xdr:spPr>
        <a:xfrm>
          <a:off x="11737259" y="19941936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112965</xdr:colOff>
      <xdr:row>117</xdr:row>
      <xdr:rowOff>199206</xdr:rowOff>
    </xdr:from>
    <xdr:to>
      <xdr:col>9</xdr:col>
      <xdr:colOff>979740</xdr:colOff>
      <xdr:row>117</xdr:row>
      <xdr:rowOff>275406</xdr:rowOff>
    </xdr:to>
    <xdr:sp macro="" textlink="">
      <xdr:nvSpPr>
        <xdr:cNvPr id="141" name="Retângulo de cantos arredondados 170">
          <a:extLst>
            <a:ext uri="{FF2B5EF4-FFF2-40B4-BE49-F238E27FC236}">
              <a16:creationId xmlns:a16="http://schemas.microsoft.com/office/drawing/2014/main" id="{D38BCFF9-7DA5-48B9-949E-F4B94151EC0F}"/>
            </a:ext>
          </a:extLst>
        </xdr:cNvPr>
        <xdr:cNvSpPr/>
      </xdr:nvSpPr>
      <xdr:spPr>
        <a:xfrm>
          <a:off x="11740189" y="20285526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104173</xdr:colOff>
      <xdr:row>119</xdr:row>
      <xdr:rowOff>212394</xdr:rowOff>
    </xdr:from>
    <xdr:to>
      <xdr:col>9</xdr:col>
      <xdr:colOff>970948</xdr:colOff>
      <xdr:row>119</xdr:row>
      <xdr:rowOff>288594</xdr:rowOff>
    </xdr:to>
    <xdr:sp macro="" textlink="">
      <xdr:nvSpPr>
        <xdr:cNvPr id="142" name="Retângulo de cantos arredondados 171">
          <a:extLst>
            <a:ext uri="{FF2B5EF4-FFF2-40B4-BE49-F238E27FC236}">
              <a16:creationId xmlns:a16="http://schemas.microsoft.com/office/drawing/2014/main" id="{31C7A8D7-5A60-4673-99E5-D3382CDE234B}"/>
            </a:ext>
          </a:extLst>
        </xdr:cNvPr>
        <xdr:cNvSpPr/>
      </xdr:nvSpPr>
      <xdr:spPr>
        <a:xfrm>
          <a:off x="11731397" y="20624133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110035</xdr:colOff>
      <xdr:row>121</xdr:row>
      <xdr:rowOff>196275</xdr:rowOff>
    </xdr:from>
    <xdr:to>
      <xdr:col>9</xdr:col>
      <xdr:colOff>976810</xdr:colOff>
      <xdr:row>121</xdr:row>
      <xdr:rowOff>272475</xdr:rowOff>
    </xdr:to>
    <xdr:sp macro="" textlink="">
      <xdr:nvSpPr>
        <xdr:cNvPr id="143" name="Retângulo de cantos arredondados 172">
          <a:extLst>
            <a:ext uri="{FF2B5EF4-FFF2-40B4-BE49-F238E27FC236}">
              <a16:creationId xmlns:a16="http://schemas.microsoft.com/office/drawing/2014/main" id="{C0E2BB73-BED4-4C74-AA84-8D5C18AD8476}"/>
            </a:ext>
          </a:extLst>
        </xdr:cNvPr>
        <xdr:cNvSpPr/>
      </xdr:nvSpPr>
      <xdr:spPr>
        <a:xfrm>
          <a:off x="11737259" y="20963913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110035</xdr:colOff>
      <xdr:row>123</xdr:row>
      <xdr:rowOff>196275</xdr:rowOff>
    </xdr:from>
    <xdr:to>
      <xdr:col>9</xdr:col>
      <xdr:colOff>976810</xdr:colOff>
      <xdr:row>123</xdr:row>
      <xdr:rowOff>272475</xdr:rowOff>
    </xdr:to>
    <xdr:sp macro="" textlink="">
      <xdr:nvSpPr>
        <xdr:cNvPr id="144" name="Retângulo de cantos arredondados 173">
          <a:extLst>
            <a:ext uri="{FF2B5EF4-FFF2-40B4-BE49-F238E27FC236}">
              <a16:creationId xmlns:a16="http://schemas.microsoft.com/office/drawing/2014/main" id="{70E6A267-479F-47BD-B97B-781991FE5E91}"/>
            </a:ext>
          </a:extLst>
        </xdr:cNvPr>
        <xdr:cNvSpPr/>
      </xdr:nvSpPr>
      <xdr:spPr>
        <a:xfrm>
          <a:off x="11737259" y="21304571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112965</xdr:colOff>
      <xdr:row>125</xdr:row>
      <xdr:rowOff>199206</xdr:rowOff>
    </xdr:from>
    <xdr:to>
      <xdr:col>9</xdr:col>
      <xdr:colOff>979740</xdr:colOff>
      <xdr:row>125</xdr:row>
      <xdr:rowOff>275406</xdr:rowOff>
    </xdr:to>
    <xdr:sp macro="" textlink="">
      <xdr:nvSpPr>
        <xdr:cNvPr id="145" name="Retângulo de cantos arredondados 174">
          <a:extLst>
            <a:ext uri="{FF2B5EF4-FFF2-40B4-BE49-F238E27FC236}">
              <a16:creationId xmlns:a16="http://schemas.microsoft.com/office/drawing/2014/main" id="{8DA7C86B-D487-4F07-99F7-81DEF31AE100}"/>
            </a:ext>
          </a:extLst>
        </xdr:cNvPr>
        <xdr:cNvSpPr/>
      </xdr:nvSpPr>
      <xdr:spPr>
        <a:xfrm>
          <a:off x="11740189" y="21648161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104173</xdr:colOff>
      <xdr:row>127</xdr:row>
      <xdr:rowOff>212394</xdr:rowOff>
    </xdr:from>
    <xdr:to>
      <xdr:col>9</xdr:col>
      <xdr:colOff>970948</xdr:colOff>
      <xdr:row>127</xdr:row>
      <xdr:rowOff>288594</xdr:rowOff>
    </xdr:to>
    <xdr:sp macro="" textlink="">
      <xdr:nvSpPr>
        <xdr:cNvPr id="146" name="Retângulo de cantos arredondados 175">
          <a:extLst>
            <a:ext uri="{FF2B5EF4-FFF2-40B4-BE49-F238E27FC236}">
              <a16:creationId xmlns:a16="http://schemas.microsoft.com/office/drawing/2014/main" id="{0A4FB4A8-7387-4488-92B0-3CFBF179D2DF}"/>
            </a:ext>
          </a:extLst>
        </xdr:cNvPr>
        <xdr:cNvSpPr/>
      </xdr:nvSpPr>
      <xdr:spPr>
        <a:xfrm>
          <a:off x="11731397" y="21986768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105339</xdr:colOff>
      <xdr:row>105</xdr:row>
      <xdr:rowOff>176491</xdr:rowOff>
    </xdr:from>
    <xdr:to>
      <xdr:col>9</xdr:col>
      <xdr:colOff>972114</xdr:colOff>
      <xdr:row>105</xdr:row>
      <xdr:rowOff>252691</xdr:rowOff>
    </xdr:to>
    <xdr:sp macro="" textlink="">
      <xdr:nvSpPr>
        <xdr:cNvPr id="147" name="Retângulo de cantos arredondados 180">
          <a:extLst>
            <a:ext uri="{FF2B5EF4-FFF2-40B4-BE49-F238E27FC236}">
              <a16:creationId xmlns:a16="http://schemas.microsoft.com/office/drawing/2014/main" id="{29BA827F-2715-46D4-BBE3-38BF68795ED1}"/>
            </a:ext>
          </a:extLst>
        </xdr:cNvPr>
        <xdr:cNvSpPr/>
      </xdr:nvSpPr>
      <xdr:spPr>
        <a:xfrm>
          <a:off x="11732563" y="18241718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9</xdr:col>
      <xdr:colOff>112061</xdr:colOff>
      <xdr:row>103</xdr:row>
      <xdr:rowOff>183206</xdr:rowOff>
    </xdr:from>
    <xdr:to>
      <xdr:col>9</xdr:col>
      <xdr:colOff>978836</xdr:colOff>
      <xdr:row>103</xdr:row>
      <xdr:rowOff>259406</xdr:rowOff>
    </xdr:to>
    <xdr:sp macro="" textlink="">
      <xdr:nvSpPr>
        <xdr:cNvPr id="148" name="Retângulo de cantos arredondados 181">
          <a:extLst>
            <a:ext uri="{FF2B5EF4-FFF2-40B4-BE49-F238E27FC236}">
              <a16:creationId xmlns:a16="http://schemas.microsoft.com/office/drawing/2014/main" id="{454CA558-4D79-46D1-9AE0-6606CA266E36}"/>
            </a:ext>
          </a:extLst>
        </xdr:cNvPr>
        <xdr:cNvSpPr/>
      </xdr:nvSpPr>
      <xdr:spPr>
        <a:xfrm>
          <a:off x="11739285" y="17900154"/>
          <a:ext cx="866775" cy="0"/>
        </a:xfrm>
        <a:prstGeom prst="roundRect">
          <a:avLst/>
        </a:prstGeom>
        <a:solidFill>
          <a:srgbClr val="33CC33"/>
        </a:solidFill>
        <a:ln>
          <a:solidFill>
            <a:srgbClr val="33CC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oneCellAnchor>
    <xdr:from>
      <xdr:col>9</xdr:col>
      <xdr:colOff>663389</xdr:colOff>
      <xdr:row>0</xdr:row>
      <xdr:rowOff>35858</xdr:rowOff>
    </xdr:from>
    <xdr:ext cx="2423306" cy="1629656"/>
    <xdr:pic>
      <xdr:nvPicPr>
        <xdr:cNvPr id="149" name="Imagem 1">
          <a:extLst>
            <a:ext uri="{FF2B5EF4-FFF2-40B4-BE49-F238E27FC236}">
              <a16:creationId xmlns:a16="http://schemas.microsoft.com/office/drawing/2014/main" id="{67FA3804-FD6E-4A12-B697-7AEE08BBF0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967"/>
        <a:stretch/>
      </xdr:blipFill>
      <xdr:spPr bwMode="auto">
        <a:xfrm>
          <a:off x="16970189" y="35858"/>
          <a:ext cx="2423306" cy="1629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1402808</xdr:colOff>
      <xdr:row>0</xdr:row>
      <xdr:rowOff>53788</xdr:rowOff>
    </xdr:from>
    <xdr:to>
      <xdr:col>10</xdr:col>
      <xdr:colOff>896471</xdr:colOff>
      <xdr:row>6</xdr:row>
      <xdr:rowOff>80683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EC4313B-91D6-49F0-B9E6-7EA7FFC113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024"/>
        <a:stretch/>
      </xdr:blipFill>
      <xdr:spPr bwMode="auto">
        <a:xfrm>
          <a:off x="12160455" y="53788"/>
          <a:ext cx="1636228" cy="1174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342900</xdr:colOff>
      <xdr:row>91</xdr:row>
      <xdr:rowOff>66674</xdr:rowOff>
    </xdr:from>
    <xdr:to>
      <xdr:col>5</xdr:col>
      <xdr:colOff>57150</xdr:colOff>
      <xdr:row>111</xdr:row>
      <xdr:rowOff>95249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BFF7B0C-8723-4DFB-AF32-F361B48E8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%20Client\Desktop\NTC%20Engenharia\01%20-%20PREFEITURAS\Afr&#226;nio\Obras\Infraestrutura\Campos%20Society\Or&#231;amento\Planilha%20Or&#231;ament&#225;ria%20ND%20%20-%20Campo%20Society%2025x45%20-%20Arizona.xlsx" TargetMode="External"/><Relationship Id="rId1" Type="http://schemas.openxmlformats.org/officeDocument/2006/relationships/externalLinkPath" Target="https://d.docs.live.net/8b79ed846818ab71/&#193;rea%20de%20Trabalho/NTC%20Engenharia/01%20-%20PREFEITURAS/Afr&#226;nio/Obras/Infraestrutura/FINISA/Campos%20Society/Or&#231;amento/Planilha%20Or&#231;ament&#225;ria%20ND%20%20-%20Campo%20Society%2025x45%20-%20Arizon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%20Client\Desktop\NTC%20Engenharia\01%20-%20PREFEITURAS\Afr&#226;nio\Obras\Infraestrutura\Campos%20Society\Or&#231;amento\Planilha%20Or&#231;ament&#225;ria%20ND%20%20-%20Campo%20Society%2022x40%20-%20Extrema.xlsx" TargetMode="External"/><Relationship Id="rId1" Type="http://schemas.openxmlformats.org/officeDocument/2006/relationships/externalLinkPath" Target="https://d.docs.live.net/8b79ed846818ab71/&#193;rea%20de%20Trabalho/NTC%20Engenharia/01%20-%20PREFEITURAS/Afr&#226;nio/Obras/Infraestrutura/FINISA/Campos%20Society/Or&#231;amento/Planilha%20Or&#231;ament&#225;ria%20ND%20%20-%20Campo%20Society%2022x40%20-%20Extrema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%20Client\Desktop\NTC%20Engenharia\01%20-%20PREFEITURAS\Afr&#226;nio\Obras\Infraestrutura\Campos%20Society\Or&#231;amento\Planilha%20Or&#231;ament&#225;ria%20ND%20%20-%20Campo%20Society%2025x45%20-%20Sede.xlsx" TargetMode="External"/><Relationship Id="rId1" Type="http://schemas.openxmlformats.org/officeDocument/2006/relationships/externalLinkPath" Target="https://d.docs.live.net/8b79ed846818ab71/&#193;rea%20de%20Trabalho/NTC%20Engenharia/01%20-%20PREFEITURAS/Afr&#226;nio/Obras/Infraestrutura/FINISA/Campos%20Society/Or&#231;amento/Planilha%20Or&#231;ament&#225;ria%20ND%20%20-%20Campo%20Society%2025x45%20-%20Sede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b79ed846818ab71/&#193;rea%20de%20Trabalho/NTC%20Engenharia/01%20-%20PREFEITURAS/Afr&#226;nio/Obras/Infraestrutura/Reforma%20Pra&#231;a%20SJB/Or&#231;amento/Planilha%20Or&#231;ament&#225;ria%20ND%20-%20Reforma%20da%20Pra&#231;a%20S&#227;o%20Jo&#227;o%20Batista.xlsx" TargetMode="External"/><Relationship Id="rId1" Type="http://schemas.openxmlformats.org/officeDocument/2006/relationships/externalLinkPath" Target="https://d.docs.live.net/8b79ed846818ab71/&#193;rea%20de%20Trabalho/NTC%20Engenharia/01%20-%20PREFEITURAS/Afr&#226;nio/Obras/Infraestrutura/Reforma%20Pra&#231;a%20SJB/Or&#231;amento/Planilha%20Or&#231;ament&#225;ria%20ND%20-%20Reforma%20da%20Pra&#231;a%20S&#227;o%20Jo&#227;o%20Batista.xlsx" TargetMode="External"/></Relationships>
</file>

<file path=xl/externalLinks/_rels/externalLink5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d.docs.live.net/8b79ed846818ab71/&#193;rea%20de%20Trabalho/NTC%20Engenharia/01%20-%20PREFEITURAS/Afr&#226;nio/Obras/Infraestrutura/Capeamento%20asf&#225;ltico%20SET%202022/Or&#231;amento/N&#227;o%20Desonerado/Planilha%20Or&#231;ament&#225;ria%20ND%20%20-%20Pav.%20Alf&#225;ltica%20Gov.%20Estado%2009-2022%20-%20Completo.xlsx" TargetMode="External"/><Relationship Id="rId2" Type="http://schemas.microsoft.com/office/2019/04/relationships/externalLinkLongPath" Target="https://d.docs.live.net/8b79ed846818ab71/&#193;rea%20de%20Trabalho/NTC%20Engenharia/01%20-%20PREFEITURAS/Afr&#226;nio/Obras/Infraestrutura/Capeamento%20asf&#225;ltico%20SET%202022/Or&#231;amento/N&#227;o%20Desonerado/Planilha%20Or&#231;ament&#225;ria%20ND%20%20-%20Pav.%20Alf&#225;ltica%20Gov.%20Estado%2009-2022%20-%20Completo.xlsx?638F0982" TargetMode="External"/><Relationship Id="rId1" Type="http://schemas.openxmlformats.org/officeDocument/2006/relationships/externalLinkPath" Target="file:///\\638F0982\Planilha%20Or&#231;ament&#225;ria%20ND%20%20-%20Pav.%20Alf&#225;ltica%20Gov.%20Estado%2009-2022%20-%20Compl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ha Orçamentária"/>
      <sheetName val="Memória de Cálculo"/>
      <sheetName val="BDI Geral"/>
      <sheetName val="Composições Unitárias"/>
      <sheetName val="Cronograma F.F."/>
    </sheetNames>
    <sheetDataSet>
      <sheetData sheetId="0">
        <row r="10">
          <cell r="G10">
            <v>352063.19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ha Orçamentária"/>
      <sheetName val="Memória de Cálculo"/>
      <sheetName val="BDI Geral"/>
      <sheetName val="Composições Unitárias"/>
      <sheetName val="Cronograma F.F."/>
    </sheetNames>
    <sheetDataSet>
      <sheetData sheetId="0">
        <row r="10">
          <cell r="G10">
            <v>294364.59000000003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ha Orçamentária"/>
      <sheetName val="Memória de Cálculo"/>
      <sheetName val="BDI Geral"/>
      <sheetName val="Composições Unitárias"/>
      <sheetName val="Cronograma F.F."/>
    </sheetNames>
    <sheetDataSet>
      <sheetData sheetId="0">
        <row r="10">
          <cell r="G10">
            <v>352063.19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ha Orçamentária"/>
      <sheetName val="Memória de Cálculo"/>
      <sheetName val="Composições"/>
      <sheetName val="BDI"/>
      <sheetName val="Cronograma FF"/>
      <sheetName val="Curva ABC"/>
    </sheetNames>
    <sheetDataSet>
      <sheetData sheetId="0"/>
      <sheetData sheetId="1"/>
      <sheetData sheetId="2"/>
      <sheetData sheetId="3">
        <row r="25">
          <cell r="C25">
            <v>0.26160902957841059</v>
          </cell>
        </row>
      </sheetData>
      <sheetData sheetId="4"/>
      <sheetData sheetId="5">
        <row r="13">
          <cell r="J13" t="str">
            <v>%</v>
          </cell>
          <cell r="K13" t="str">
            <v>% ACUMULADO</v>
          </cell>
        </row>
        <row r="14">
          <cell r="J14">
            <v>0.11683541092164029</v>
          </cell>
          <cell r="K14">
            <v>0.11683541092164029</v>
          </cell>
          <cell r="L14" t="str">
            <v>A</v>
          </cell>
        </row>
        <row r="15">
          <cell r="J15">
            <v>0.10078603887362775</v>
          </cell>
          <cell r="K15">
            <v>0.21762144979526804</v>
          </cell>
          <cell r="L15" t="str">
            <v>A</v>
          </cell>
        </row>
        <row r="16">
          <cell r="J16">
            <v>9.7616737538204434E-2</v>
          </cell>
          <cell r="K16">
            <v>0.31523818733347247</v>
          </cell>
          <cell r="L16" t="str">
            <v>A</v>
          </cell>
        </row>
        <row r="17">
          <cell r="J17">
            <v>8.2680927779695573E-2</v>
          </cell>
          <cell r="K17">
            <v>0.39791911511316802</v>
          </cell>
          <cell r="L17" t="str">
            <v>A</v>
          </cell>
        </row>
        <row r="18">
          <cell r="J18">
            <v>7.7329524371553104E-2</v>
          </cell>
          <cell r="K18">
            <v>0.47524863948472112</v>
          </cell>
          <cell r="L18" t="str">
            <v>A</v>
          </cell>
        </row>
        <row r="19">
          <cell r="J19">
            <v>5.2214466092549081E-2</v>
          </cell>
          <cell r="K19">
            <v>0.52746310557727016</v>
          </cell>
          <cell r="L19" t="str">
            <v>A</v>
          </cell>
        </row>
        <row r="20">
          <cell r="J20">
            <v>4.1428987729053589E-2</v>
          </cell>
          <cell r="K20">
            <v>0.56889209330632373</v>
          </cell>
          <cell r="L20" t="str">
            <v>A</v>
          </cell>
        </row>
        <row r="21">
          <cell r="J21">
            <v>4.1073751492202416E-2</v>
          </cell>
          <cell r="K21">
            <v>0.60996584479852611</v>
          </cell>
          <cell r="L21" t="str">
            <v>A</v>
          </cell>
        </row>
        <row r="22">
          <cell r="J22">
            <v>3.912713550821547E-2</v>
          </cell>
          <cell r="K22">
            <v>0.64909298030674156</v>
          </cell>
          <cell r="L22" t="str">
            <v>A</v>
          </cell>
        </row>
        <row r="23">
          <cell r="J23">
            <v>3.7087347655279213E-2</v>
          </cell>
          <cell r="K23">
            <v>0.68618032796202078</v>
          </cell>
          <cell r="L23" t="str">
            <v>A</v>
          </cell>
        </row>
        <row r="24">
          <cell r="J24">
            <v>3.3630016367614195E-2</v>
          </cell>
          <cell r="K24">
            <v>0.71981034432963498</v>
          </cell>
          <cell r="L24" t="str">
            <v>A</v>
          </cell>
        </row>
        <row r="25">
          <cell r="J25">
            <v>3.2165971508042478E-2</v>
          </cell>
          <cell r="K25">
            <v>0.75197631583767743</v>
          </cell>
          <cell r="L25" t="str">
            <v>A</v>
          </cell>
        </row>
        <row r="26">
          <cell r="J26">
            <v>3.0208834074908875E-2</v>
          </cell>
          <cell r="K26">
            <v>0.78218514991258625</v>
          </cell>
          <cell r="L26" t="str">
            <v>A</v>
          </cell>
        </row>
        <row r="27">
          <cell r="J27">
            <v>2.6259213055183122E-2</v>
          </cell>
          <cell r="K27">
            <v>0.80844436296776934</v>
          </cell>
          <cell r="L27" t="str">
            <v>B</v>
          </cell>
        </row>
        <row r="28">
          <cell r="J28">
            <v>2.0492233533155657E-2</v>
          </cell>
          <cell r="K28">
            <v>0.82893659650092499</v>
          </cell>
          <cell r="L28" t="str">
            <v>B</v>
          </cell>
        </row>
        <row r="29">
          <cell r="J29">
            <v>2.0200379520079522E-2</v>
          </cell>
          <cell r="K29">
            <v>0.84913697602100446</v>
          </cell>
          <cell r="L29" t="str">
            <v>B</v>
          </cell>
        </row>
        <row r="30">
          <cell r="J30">
            <v>2.0164230525119824E-2</v>
          </cell>
          <cell r="K30">
            <v>0.86930120654612431</v>
          </cell>
          <cell r="L30" t="str">
            <v>B</v>
          </cell>
        </row>
        <row r="31">
          <cell r="J31">
            <v>1.4258845353775593E-2</v>
          </cell>
          <cell r="K31">
            <v>0.88356005189989995</v>
          </cell>
          <cell r="L31" t="str">
            <v>B</v>
          </cell>
        </row>
        <row r="32">
          <cell r="J32">
            <v>1.3919877221026682E-2</v>
          </cell>
          <cell r="K32">
            <v>0.89747992912092667</v>
          </cell>
          <cell r="L32" t="str">
            <v>B</v>
          </cell>
        </row>
        <row r="33">
          <cell r="J33">
            <v>1.36709752282621E-2</v>
          </cell>
          <cell r="K33">
            <v>0.91115090434918877</v>
          </cell>
          <cell r="L33" t="str">
            <v>B</v>
          </cell>
        </row>
        <row r="34">
          <cell r="J34">
            <v>1.3320851824128782E-2</v>
          </cell>
          <cell r="K34">
            <v>0.92447175617331756</v>
          </cell>
          <cell r="L34" t="str">
            <v>B</v>
          </cell>
        </row>
        <row r="35">
          <cell r="J35">
            <v>1.1827630014212619E-2</v>
          </cell>
          <cell r="K35">
            <v>0.93629938618753017</v>
          </cell>
          <cell r="L35" t="str">
            <v>B</v>
          </cell>
        </row>
        <row r="36">
          <cell r="J36">
            <v>8.2885145304698749E-3</v>
          </cell>
          <cell r="K36">
            <v>0.94458790071800003</v>
          </cell>
          <cell r="L36" t="str">
            <v>B</v>
          </cell>
        </row>
        <row r="37">
          <cell r="J37">
            <v>8.2197448176739556E-3</v>
          </cell>
          <cell r="K37">
            <v>0.95280764553567399</v>
          </cell>
          <cell r="L37" t="str">
            <v>C</v>
          </cell>
        </row>
        <row r="38">
          <cell r="J38">
            <v>7.1980022430123899E-3</v>
          </cell>
          <cell r="K38">
            <v>0.96000564777868636</v>
          </cell>
          <cell r="L38" t="str">
            <v>C</v>
          </cell>
        </row>
        <row r="39">
          <cell r="J39">
            <v>6.1952320806674867E-3</v>
          </cell>
          <cell r="K39">
            <v>0.96620087985935388</v>
          </cell>
          <cell r="L39" t="str">
            <v>C</v>
          </cell>
        </row>
        <row r="40">
          <cell r="J40">
            <v>5.3904891128037317E-3</v>
          </cell>
          <cell r="K40">
            <v>0.97159136897215759</v>
          </cell>
          <cell r="L40" t="str">
            <v>C</v>
          </cell>
        </row>
        <row r="41">
          <cell r="J41">
            <v>5.1434674593444762E-3</v>
          </cell>
          <cell r="K41">
            <v>0.97673483643150205</v>
          </cell>
          <cell r="L41" t="str">
            <v>C</v>
          </cell>
        </row>
        <row r="42">
          <cell r="J42">
            <v>4.9732228062847198E-3</v>
          </cell>
          <cell r="K42">
            <v>0.98170805923778681</v>
          </cell>
          <cell r="L42" t="str">
            <v>C</v>
          </cell>
        </row>
        <row r="43">
          <cell r="J43">
            <v>4.2271506502287266E-3</v>
          </cell>
          <cell r="K43">
            <v>0.98593520988801553</v>
          </cell>
          <cell r="L43" t="str">
            <v>C</v>
          </cell>
        </row>
        <row r="44">
          <cell r="J44">
            <v>3.6015469741611595E-3</v>
          </cell>
          <cell r="K44">
            <v>0.98953675686217668</v>
          </cell>
          <cell r="L44" t="str">
            <v>C</v>
          </cell>
        </row>
        <row r="45">
          <cell r="J45">
            <v>2.8069029072855605E-3</v>
          </cell>
          <cell r="K45">
            <v>0.99234365976946226</v>
          </cell>
          <cell r="L45" t="str">
            <v>C</v>
          </cell>
        </row>
        <row r="46">
          <cell r="J46">
            <v>2.0714578374158494E-3</v>
          </cell>
          <cell r="K46">
            <v>0.99441511760687806</v>
          </cell>
          <cell r="L46" t="str">
            <v>C</v>
          </cell>
        </row>
        <row r="47">
          <cell r="J47">
            <v>1.2234036833058174E-3</v>
          </cell>
          <cell r="K47">
            <v>0.99563852129018393</v>
          </cell>
          <cell r="L47" t="str">
            <v>C</v>
          </cell>
        </row>
        <row r="48">
          <cell r="J48">
            <v>1.0754695730148746E-3</v>
          </cell>
          <cell r="K48">
            <v>0.99671399086319878</v>
          </cell>
          <cell r="L48" t="str">
            <v>C</v>
          </cell>
        </row>
        <row r="49">
          <cell r="J49">
            <v>1.0496941353463584E-3</v>
          </cell>
          <cell r="K49">
            <v>0.99776368499854518</v>
          </cell>
          <cell r="L49" t="str">
            <v>C</v>
          </cell>
        </row>
        <row r="50">
          <cell r="J50">
            <v>9.5088124848107154E-4</v>
          </cell>
          <cell r="K50">
            <v>0.99871456624702626</v>
          </cell>
          <cell r="L50" t="str">
            <v>C</v>
          </cell>
        </row>
        <row r="51">
          <cell r="J51">
            <v>3.9791360085969962E-4</v>
          </cell>
          <cell r="K51">
            <v>0.99911247984788598</v>
          </cell>
          <cell r="L51" t="str">
            <v>C</v>
          </cell>
        </row>
        <row r="52">
          <cell r="J52">
            <v>2.8494535068465378E-4</v>
          </cell>
          <cell r="K52">
            <v>0.99939742519857067</v>
          </cell>
          <cell r="L52" t="str">
            <v>C</v>
          </cell>
        </row>
        <row r="53">
          <cell r="J53">
            <v>2.7078998737489486E-4</v>
          </cell>
          <cell r="K53">
            <v>0.99966821518594551</v>
          </cell>
          <cell r="L53" t="str">
            <v>C</v>
          </cell>
        </row>
        <row r="54">
          <cell r="J54">
            <v>2.5221899580880821E-4</v>
          </cell>
          <cell r="K54">
            <v>0.99992043418175436</v>
          </cell>
          <cell r="L54" t="str">
            <v>C</v>
          </cell>
        </row>
        <row r="55">
          <cell r="J55">
            <v>7.9565818245599899E-5</v>
          </cell>
          <cell r="K55">
            <v>1</v>
          </cell>
          <cell r="L55" t="str">
            <v>C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ronograma F.F."/>
      <sheetName val="Curva ABC (Serviços)"/>
      <sheetName val="Planilha Orçamentária"/>
      <sheetName val="Memória de Cálculo"/>
      <sheetName val="Cotações"/>
      <sheetName val="Transporte RR-2C"/>
      <sheetName val="Transporte CAP 50-70"/>
      <sheetName val="Transporte CBUQ"/>
      <sheetName val="BDI Geral"/>
      <sheetName val="BDI Diferenciado"/>
      <sheetName val="Composições Unitárias"/>
      <sheetName val="Composições Complementa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32704C-BF4C-4C32-B7E4-659DDD448F5F}" name="Tabela2" displayName="Tabela2" ref="A115:J192" totalsRowCount="1" headerRowDxfId="37" tableBorderDxfId="36">
  <autoFilter ref="A115:J191" xr:uid="{EC32704C-BF4C-4C32-B7E4-659DDD448F5F}"/>
  <sortState xmlns:xlrd2="http://schemas.microsoft.com/office/spreadsheetml/2017/richdata2" ref="A116:J191">
    <sortCondition descending="1" ref="J115:J191"/>
  </sortState>
  <tableColumns count="10">
    <tableColumn id="1" xr3:uid="{E593A886-5316-4ADC-A6AB-51E0E09AD711}" name="Coluna1" dataDxfId="35" totalsRowDxfId="9"/>
    <tableColumn id="2" xr3:uid="{1FF38411-0F0C-41D2-9762-0646C23D73C1}" name="Coluna2" dataDxfId="34" totalsRowDxfId="8" dataCellStyle="Normal 2"/>
    <tableColumn id="3" xr3:uid="{4AEE71B8-3D01-418D-BDFB-72DA28242479}" name="Coluna3" dataDxfId="33" totalsRowDxfId="7"/>
    <tableColumn id="4" xr3:uid="{259DAFE9-7F19-4B72-B79C-CBB3DB930D7C}" name="Coluna4" dataDxfId="32" totalsRowDxfId="6"/>
    <tableColumn id="5" xr3:uid="{3256A864-ABCC-4D6C-ACD0-99B3ADE88B9E}" name="Coluna5" dataDxfId="31" totalsRowDxfId="5"/>
    <tableColumn id="6" xr3:uid="{4B16035E-6FC3-4915-81AB-54AD3456B363}" name="Coluna6" dataDxfId="30" totalsRowDxfId="4" dataCellStyle="Vírgula">
      <calculatedColumnFormula>'[5]Memória de Cálculo'!I86</calculatedColumnFormula>
    </tableColumn>
    <tableColumn id="7" xr3:uid="{9234ADF9-020E-4457-ACE7-FC265779F76B}" name="Coluna7" dataDxfId="29" totalsRowDxfId="3" dataCellStyle="Moeda"/>
    <tableColumn id="8" xr3:uid="{51508A8C-2385-4CDD-92F5-9AAD6F749B81}" name="Coluna8" dataDxfId="28" totalsRowDxfId="2" dataCellStyle="Moeda">
      <calculatedColumnFormula>TRUNC(G116+G116*$E$10,2)</calculatedColumnFormula>
    </tableColumn>
    <tableColumn id="9" xr3:uid="{A9266CF8-3B85-488D-86A1-8788BB9DC09F}" name="Coluna9" totalsRowFunction="custom" dataDxfId="27" totalsRowDxfId="1" dataCellStyle="Moeda">
      <calculatedColumnFormula>TRUNC(Tabela2[[#This Row],[Coluna8]]*Tabela2[[#This Row],[Coluna6]],2)</calculatedColumnFormula>
      <totalsRowFormula>SUM(Tabela2[Coluna9])</totalsRowFormula>
    </tableColumn>
    <tableColumn id="10" xr3:uid="{A3D405B1-AD73-494E-BC43-121A0A03BFD4}" name="Coluna10" dataDxfId="26" totalsRowDxfId="0" dataCellStyle="Porcentagem">
      <calculatedColumnFormula>Tabela2[[#This Row],[Coluna9]]/Tabela2[[#Totals],[Coluna9]]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5"/>
  <sheetViews>
    <sheetView view="pageBreakPreview" zoomScaleNormal="70" zoomScaleSheetLayoutView="100" workbookViewId="0">
      <selection activeCell="I120" sqref="I120"/>
    </sheetView>
  </sheetViews>
  <sheetFormatPr defaultRowHeight="13.2"/>
  <cols>
    <col min="1" max="1" width="8.33203125" bestFit="1" customWidth="1"/>
    <col min="2" max="2" width="13.5546875" customWidth="1"/>
    <col min="3" max="3" width="18.77734375" customWidth="1"/>
    <col min="4" max="4" width="57.5546875" style="135" bestFit="1" customWidth="1"/>
    <col min="5" max="5" width="9.6640625" bestFit="1" customWidth="1"/>
    <col min="6" max="6" width="14" bestFit="1" customWidth="1"/>
    <col min="7" max="7" width="14.6640625" customWidth="1"/>
    <col min="8" max="8" width="14.44140625" customWidth="1"/>
    <col min="9" max="9" width="20.5546875" bestFit="1" customWidth="1"/>
    <col min="10" max="10" width="11.44140625" bestFit="1" customWidth="1"/>
    <col min="11" max="11" width="13.33203125" bestFit="1" customWidth="1"/>
    <col min="12" max="13" width="15.88671875" bestFit="1" customWidth="1"/>
  </cols>
  <sheetData>
    <row r="1" spans="1:12" ht="17.399999999999999">
      <c r="A1" s="235" t="s">
        <v>55</v>
      </c>
      <c r="B1" s="236"/>
      <c r="C1" s="236"/>
      <c r="D1" s="236"/>
      <c r="E1" s="236"/>
      <c r="F1" s="236"/>
      <c r="G1" s="236"/>
      <c r="H1" s="236"/>
      <c r="I1" s="236"/>
      <c r="J1" s="236"/>
      <c r="K1" s="29"/>
      <c r="L1" s="30"/>
    </row>
    <row r="2" spans="1:12" ht="15" customHeight="1">
      <c r="A2" s="237" t="s">
        <v>302</v>
      </c>
      <c r="B2" s="238"/>
      <c r="C2" s="238"/>
      <c r="D2" s="238"/>
      <c r="E2" s="238"/>
      <c r="F2" s="238"/>
      <c r="G2" s="238"/>
      <c r="H2" s="238"/>
      <c r="I2" s="238"/>
      <c r="J2" s="238"/>
      <c r="K2" s="31"/>
      <c r="L2" s="32"/>
    </row>
    <row r="3" spans="1:12" ht="15" customHeight="1">
      <c r="A3" s="239" t="s">
        <v>56</v>
      </c>
      <c r="B3" s="240"/>
      <c r="C3" s="33"/>
      <c r="D3" s="136" t="s">
        <v>57</v>
      </c>
      <c r="E3" s="33"/>
      <c r="F3" s="33"/>
      <c r="G3" s="33"/>
      <c r="H3" s="33"/>
      <c r="I3" s="35"/>
      <c r="J3" s="32"/>
    </row>
    <row r="4" spans="1:12" ht="15" customHeight="1">
      <c r="A4" s="36"/>
      <c r="B4" s="37"/>
      <c r="C4" s="37"/>
      <c r="D4" s="241" t="s">
        <v>217</v>
      </c>
      <c r="E4" s="242"/>
      <c r="F4" s="242"/>
      <c r="G4" s="242"/>
      <c r="H4" s="39"/>
      <c r="I4" s="39"/>
      <c r="J4" s="40"/>
      <c r="L4">
        <f>0.15/0.2</f>
        <v>0.74999999999999989</v>
      </c>
    </row>
    <row r="5" spans="1:12" ht="15" customHeight="1">
      <c r="A5" s="41"/>
      <c r="C5" s="42"/>
      <c r="E5" s="43"/>
      <c r="F5" s="43"/>
      <c r="J5" s="44"/>
      <c r="L5">
        <f>L6/0.08</f>
        <v>6.88</v>
      </c>
    </row>
    <row r="6" spans="1:12">
      <c r="A6" s="45" t="s">
        <v>58</v>
      </c>
      <c r="B6" s="33"/>
      <c r="C6" s="33"/>
      <c r="D6" s="137" t="s">
        <v>59</v>
      </c>
      <c r="E6" s="33"/>
      <c r="F6" s="33"/>
      <c r="G6" s="33"/>
      <c r="H6" s="33"/>
      <c r="I6" s="33"/>
      <c r="J6" s="32"/>
      <c r="L6">
        <f>0.74-L7</f>
        <v>0.5504</v>
      </c>
    </row>
    <row r="7" spans="1:12" ht="15" customHeight="1">
      <c r="A7" s="36"/>
      <c r="B7" s="47"/>
      <c r="C7" s="47"/>
      <c r="D7" s="138" t="s">
        <v>55</v>
      </c>
      <c r="E7" s="39"/>
      <c r="F7" s="39"/>
      <c r="G7" s="39"/>
      <c r="H7" s="39"/>
      <c r="I7" s="39"/>
      <c r="J7" s="40"/>
      <c r="L7" s="128">
        <f>2.37*0.08</f>
        <v>0.18960000000000002</v>
      </c>
    </row>
    <row r="8" spans="1:12" ht="15" customHeight="1">
      <c r="A8" s="41"/>
      <c r="B8" s="33"/>
      <c r="C8" s="33"/>
      <c r="D8" s="139"/>
      <c r="E8" s="33"/>
      <c r="F8" s="33"/>
      <c r="G8" s="33"/>
      <c r="H8" s="33"/>
      <c r="I8" s="33"/>
      <c r="J8" s="44"/>
    </row>
    <row r="9" spans="1:12" ht="25.5" customHeight="1">
      <c r="A9" s="45" t="s">
        <v>82</v>
      </c>
      <c r="B9" s="33"/>
      <c r="C9" s="33"/>
      <c r="D9" s="137" t="s">
        <v>60</v>
      </c>
      <c r="E9" s="48" t="s">
        <v>92</v>
      </c>
      <c r="F9" s="210" t="s">
        <v>332</v>
      </c>
      <c r="G9" s="49" t="s">
        <v>61</v>
      </c>
      <c r="H9" s="249" t="s">
        <v>62</v>
      </c>
      <c r="I9" s="250"/>
      <c r="J9" s="251"/>
      <c r="L9">
        <f>0.42/0.08</f>
        <v>5.25</v>
      </c>
    </row>
    <row r="10" spans="1:12" ht="39.75" customHeight="1">
      <c r="A10" s="52"/>
      <c r="B10" s="39"/>
      <c r="C10" s="39"/>
      <c r="D10" s="126" t="s">
        <v>279</v>
      </c>
      <c r="E10" s="69">
        <f>'BDI Geral'!$C$25</f>
        <v>0.23535496426352442</v>
      </c>
      <c r="F10" s="69">
        <f>'BDI Diferenciado'!C25</f>
        <v>0.15278047942916406</v>
      </c>
      <c r="G10" s="51">
        <f>I127</f>
        <v>1357029.92</v>
      </c>
      <c r="H10" s="252" t="s">
        <v>346</v>
      </c>
      <c r="I10" s="253"/>
      <c r="J10" s="254"/>
      <c r="K10" s="132"/>
      <c r="L10">
        <f>0.74/0.2</f>
        <v>3.6999999999999997</v>
      </c>
    </row>
    <row r="11" spans="1:12" ht="19.5" customHeight="1">
      <c r="A11" s="244" t="s">
        <v>63</v>
      </c>
      <c r="B11" s="244"/>
      <c r="C11" s="244"/>
      <c r="D11" s="244"/>
      <c r="E11" s="244"/>
      <c r="F11" s="244"/>
      <c r="G11" s="244"/>
      <c r="H11" s="244"/>
      <c r="I11" s="244"/>
      <c r="J11" s="244"/>
      <c r="L11" s="127">
        <v>0.74</v>
      </c>
    </row>
    <row r="12" spans="1:12">
      <c r="A12" s="245"/>
      <c r="B12" s="245"/>
      <c r="C12" s="245"/>
      <c r="D12" s="245"/>
      <c r="E12" s="245"/>
      <c r="F12" s="245"/>
      <c r="G12" s="245"/>
      <c r="H12" s="245"/>
      <c r="I12" s="245"/>
      <c r="J12" s="245"/>
    </row>
    <row r="13" spans="1:12" ht="27.75" customHeight="1">
      <c r="A13" s="53" t="s">
        <v>0</v>
      </c>
      <c r="B13" s="53" t="s">
        <v>14</v>
      </c>
      <c r="C13" s="53" t="s">
        <v>65</v>
      </c>
      <c r="D13" s="54" t="s">
        <v>66</v>
      </c>
      <c r="E13" s="54" t="s">
        <v>67</v>
      </c>
      <c r="F13" s="54" t="s">
        <v>68</v>
      </c>
      <c r="G13" s="54" t="s">
        <v>69</v>
      </c>
      <c r="H13" s="54" t="s">
        <v>70</v>
      </c>
      <c r="I13" s="54" t="s">
        <v>71</v>
      </c>
      <c r="J13" s="54" t="s">
        <v>64</v>
      </c>
    </row>
    <row r="14" spans="1:12" ht="15" customHeight="1">
      <c r="A14" s="227" t="s">
        <v>95</v>
      </c>
      <c r="B14" s="228"/>
      <c r="C14" s="228"/>
      <c r="D14" s="228"/>
      <c r="E14" s="228"/>
      <c r="F14" s="228"/>
      <c r="G14" s="228"/>
      <c r="H14" s="228"/>
      <c r="I14" s="228">
        <f>I18</f>
        <v>14959.82</v>
      </c>
      <c r="J14" s="229">
        <f>I14/$I$127</f>
        <v>1.1023942640852016E-2</v>
      </c>
      <c r="L14">
        <f>25.78*42.7</f>
        <v>1100.806</v>
      </c>
    </row>
    <row r="15" spans="1:12" ht="39.6">
      <c r="A15" s="3" t="s">
        <v>3</v>
      </c>
      <c r="B15" s="3">
        <v>103689</v>
      </c>
      <c r="C15" s="1" t="s">
        <v>13</v>
      </c>
      <c r="D15" s="140" t="s">
        <v>119</v>
      </c>
      <c r="E15" s="3" t="s">
        <v>2</v>
      </c>
      <c r="F15" s="7">
        <f>'Memória de Cálculo'!I15</f>
        <v>6</v>
      </c>
      <c r="G15" s="70">
        <v>312.68</v>
      </c>
      <c r="H15" s="57">
        <f>TRUNC(G15+G15*$E$10,2)</f>
        <v>386.27</v>
      </c>
      <c r="I15" s="58">
        <f>TRUNC(H15*F15,2)</f>
        <v>2317.62</v>
      </c>
      <c r="J15" s="124">
        <f>I15/$I$127</f>
        <v>1.7078621228926183E-3</v>
      </c>
    </row>
    <row r="16" spans="1:12" ht="39.6">
      <c r="A16" s="3" t="s">
        <v>4</v>
      </c>
      <c r="B16" s="3">
        <v>98525</v>
      </c>
      <c r="C16" s="1" t="s">
        <v>13</v>
      </c>
      <c r="D16" s="140" t="s">
        <v>120</v>
      </c>
      <c r="E16" s="3" t="s">
        <v>2</v>
      </c>
      <c r="F16" s="7">
        <f>'Memória de Cálculo'!I16</f>
        <v>1118</v>
      </c>
      <c r="G16" s="70">
        <v>0.41</v>
      </c>
      <c r="H16" s="57">
        <f>TRUNC(G16+G16*$E$10,2)</f>
        <v>0.5</v>
      </c>
      <c r="I16" s="58">
        <f>TRUNC(H16*F16,2)</f>
        <v>559</v>
      </c>
      <c r="J16" s="124">
        <f>I16/$I$127</f>
        <v>4.1192901627401112E-4</v>
      </c>
      <c r="L16">
        <f>20*35</f>
        <v>700</v>
      </c>
    </row>
    <row r="17" spans="1:13" ht="39.6">
      <c r="A17" s="3" t="s">
        <v>11</v>
      </c>
      <c r="B17" s="3">
        <v>99059</v>
      </c>
      <c r="C17" s="1" t="s">
        <v>13</v>
      </c>
      <c r="D17" s="140" t="s">
        <v>192</v>
      </c>
      <c r="E17" s="3" t="s">
        <v>1</v>
      </c>
      <c r="F17" s="7">
        <f>'Memória de Cálculo'!I17</f>
        <v>160</v>
      </c>
      <c r="G17" s="70">
        <v>61.14</v>
      </c>
      <c r="H17" s="57">
        <f>TRUNC(G17+G17*$E$10,2)</f>
        <v>75.52</v>
      </c>
      <c r="I17" s="58">
        <f>TRUNC(H17*F17,2)</f>
        <v>12083.2</v>
      </c>
      <c r="J17" s="124">
        <f>I17/$I$127</f>
        <v>8.9041515016853885E-3</v>
      </c>
      <c r="L17">
        <f>20*35</f>
        <v>700</v>
      </c>
    </row>
    <row r="18" spans="1:13" ht="14.4">
      <c r="A18" s="226" t="s">
        <v>72</v>
      </c>
      <c r="B18" s="226"/>
      <c r="C18" s="226"/>
      <c r="D18" s="226"/>
      <c r="E18" s="226"/>
      <c r="F18" s="226"/>
      <c r="G18" s="226"/>
      <c r="H18" s="226"/>
      <c r="I18" s="59">
        <f>SUM(I15:I17)</f>
        <v>14959.82</v>
      </c>
      <c r="J18" s="125">
        <f>I18/$I$127</f>
        <v>1.1023942640852016E-2</v>
      </c>
    </row>
    <row r="19" spans="1:13" ht="13.8">
      <c r="A19" s="246"/>
      <c r="B19" s="247"/>
      <c r="C19" s="247"/>
      <c r="D19" s="247"/>
      <c r="E19" s="247"/>
      <c r="F19" s="247"/>
      <c r="G19" s="247"/>
      <c r="H19" s="247"/>
      <c r="I19" s="247"/>
      <c r="J19" s="248"/>
      <c r="M19" s="132">
        <f>G10+'[1]Planilha Orçamentária'!$G$10+'[2]Planilha Orçamentária'!$G$10+'[3]Planilha Orçamentária'!$G$10</f>
        <v>2355520.89</v>
      </c>
    </row>
    <row r="20" spans="1:13" ht="15" customHeight="1">
      <c r="A20" s="227" t="s">
        <v>114</v>
      </c>
      <c r="B20" s="228"/>
      <c r="C20" s="228"/>
      <c r="D20" s="228"/>
      <c r="E20" s="228"/>
      <c r="F20" s="228"/>
      <c r="G20" s="228"/>
      <c r="H20" s="228"/>
      <c r="I20" s="228">
        <f>I26</f>
        <v>21035.14</v>
      </c>
      <c r="J20" s="229">
        <f t="shared" ref="J20:J26" si="0">I20/$I$127</f>
        <v>1.5500866775288197E-2</v>
      </c>
    </row>
    <row r="21" spans="1:13" ht="26.4">
      <c r="A21" s="3" t="s">
        <v>5</v>
      </c>
      <c r="B21" s="3">
        <v>100575</v>
      </c>
      <c r="C21" s="1" t="s">
        <v>13</v>
      </c>
      <c r="D21" s="140" t="s">
        <v>121</v>
      </c>
      <c r="E21" s="3" t="s">
        <v>2</v>
      </c>
      <c r="F21" s="7">
        <f>'Memória de Cálculo'!I20</f>
        <v>1118</v>
      </c>
      <c r="G21" s="70">
        <v>0.15</v>
      </c>
      <c r="H21" s="57">
        <f>TRUNC(G21+G21*$E$10,2)</f>
        <v>0.18</v>
      </c>
      <c r="I21" s="58">
        <f t="shared" ref="I21:I24" si="1">TRUNC(H21*F21,2)</f>
        <v>201.24</v>
      </c>
      <c r="J21" s="124">
        <f t="shared" si="0"/>
        <v>1.4829444585864402E-4</v>
      </c>
    </row>
    <row r="22" spans="1:13" ht="39.6">
      <c r="A22" s="3" t="s">
        <v>6</v>
      </c>
      <c r="B22" s="3">
        <v>96527</v>
      </c>
      <c r="C22" s="1" t="s">
        <v>13</v>
      </c>
      <c r="D22" s="140" t="s">
        <v>191</v>
      </c>
      <c r="E22" s="3" t="s">
        <v>10</v>
      </c>
      <c r="F22" s="7">
        <f>'Memória de Cálculo'!I21</f>
        <v>11.04</v>
      </c>
      <c r="G22" s="70">
        <v>126.72</v>
      </c>
      <c r="H22" s="57">
        <f t="shared" ref="H22:H24" si="2">TRUNC(G22+G22*$E$10,2)</f>
        <v>156.54</v>
      </c>
      <c r="I22" s="58">
        <f t="shared" si="1"/>
        <v>1728.2</v>
      </c>
      <c r="J22" s="124">
        <f t="shared" si="0"/>
        <v>1.2735165043376495E-3</v>
      </c>
    </row>
    <row r="23" spans="1:13" ht="39.6">
      <c r="A23" s="3" t="s">
        <v>94</v>
      </c>
      <c r="B23" s="3">
        <v>96523</v>
      </c>
      <c r="C23" s="1" t="s">
        <v>13</v>
      </c>
      <c r="D23" s="140" t="s">
        <v>122</v>
      </c>
      <c r="E23" s="3" t="s">
        <v>10</v>
      </c>
      <c r="F23" s="7">
        <f>'Memória de Cálculo'!$I$28</f>
        <v>115.75</v>
      </c>
      <c r="G23" s="70">
        <v>96.48</v>
      </c>
      <c r="H23" s="57">
        <f t="shared" si="2"/>
        <v>119.18</v>
      </c>
      <c r="I23" s="58">
        <f t="shared" si="1"/>
        <v>13795.08</v>
      </c>
      <c r="J23" s="124">
        <f t="shared" si="0"/>
        <v>1.0165641742077434E-2</v>
      </c>
    </row>
    <row r="24" spans="1:13" ht="39.6">
      <c r="A24" s="3" t="s">
        <v>96</v>
      </c>
      <c r="B24" s="3">
        <v>96385</v>
      </c>
      <c r="C24" s="1" t="s">
        <v>13</v>
      </c>
      <c r="D24" s="140" t="s">
        <v>123</v>
      </c>
      <c r="E24" s="3" t="s">
        <v>10</v>
      </c>
      <c r="F24" s="7">
        <f>'Memória de Cálculo'!$I$36</f>
        <v>227.04</v>
      </c>
      <c r="G24" s="70">
        <v>12.39</v>
      </c>
      <c r="H24" s="57">
        <f t="shared" si="2"/>
        <v>15.3</v>
      </c>
      <c r="I24" s="58">
        <f t="shared" si="1"/>
        <v>3473.71</v>
      </c>
      <c r="J24" s="124">
        <f t="shared" si="0"/>
        <v>2.5597888070146607E-3</v>
      </c>
    </row>
    <row r="25" spans="1:13" ht="26.4">
      <c r="A25" s="3" t="s">
        <v>97</v>
      </c>
      <c r="B25" s="3">
        <v>104737</v>
      </c>
      <c r="C25" s="1" t="s">
        <v>13</v>
      </c>
      <c r="D25" s="140" t="s">
        <v>193</v>
      </c>
      <c r="E25" s="3" t="s">
        <v>10</v>
      </c>
      <c r="F25" s="7">
        <f>'Memória de Cálculo'!$I$37</f>
        <v>69.37</v>
      </c>
      <c r="G25" s="70">
        <v>21.44</v>
      </c>
      <c r="H25" s="57">
        <f t="shared" ref="H25" si="3">TRUNC(G25+G25*$E$10,2)</f>
        <v>26.48</v>
      </c>
      <c r="I25" s="58">
        <f t="shared" ref="I25" si="4">TRUNC(H25*F25,2)</f>
        <v>1836.91</v>
      </c>
      <c r="J25" s="124">
        <f t="shared" si="0"/>
        <v>1.35362527599981E-3</v>
      </c>
    </row>
    <row r="26" spans="1:13" ht="14.4">
      <c r="A26" s="226" t="s">
        <v>72</v>
      </c>
      <c r="B26" s="226"/>
      <c r="C26" s="226"/>
      <c r="D26" s="226"/>
      <c r="E26" s="226"/>
      <c r="F26" s="226"/>
      <c r="G26" s="226"/>
      <c r="H26" s="226"/>
      <c r="I26" s="59">
        <f>TRUNC(SUM(I21:I25),2)</f>
        <v>21035.14</v>
      </c>
      <c r="J26" s="125">
        <f t="shared" si="0"/>
        <v>1.5500866775288197E-2</v>
      </c>
    </row>
    <row r="27" spans="1:13" ht="13.8">
      <c r="A27" s="246"/>
      <c r="B27" s="247"/>
      <c r="C27" s="247"/>
      <c r="D27" s="247"/>
      <c r="E27" s="247"/>
      <c r="F27" s="247"/>
      <c r="G27" s="247"/>
      <c r="H27" s="247"/>
      <c r="I27" s="247"/>
      <c r="J27" s="248"/>
    </row>
    <row r="28" spans="1:13" ht="12.75" customHeight="1">
      <c r="A28" s="227" t="s">
        <v>115</v>
      </c>
      <c r="B28" s="228"/>
      <c r="C28" s="228"/>
      <c r="D28" s="228"/>
      <c r="E28" s="228"/>
      <c r="F28" s="228"/>
      <c r="G28" s="228"/>
      <c r="H28" s="228"/>
      <c r="I28" s="228"/>
      <c r="J28" s="229"/>
    </row>
    <row r="29" spans="1:13" ht="12.75" customHeight="1">
      <c r="A29" s="230" t="s">
        <v>259</v>
      </c>
      <c r="B29" s="231"/>
      <c r="C29" s="231"/>
      <c r="D29" s="231"/>
      <c r="E29" s="231"/>
      <c r="F29" s="231"/>
      <c r="G29" s="231"/>
      <c r="H29" s="231"/>
      <c r="I29" s="133">
        <f>TRUNC((SUM(I30:I38)),2)</f>
        <v>134294.29</v>
      </c>
      <c r="J29" s="134">
        <f t="shared" ref="J29:J54" si="5">I29/$I$127</f>
        <v>9.896192266711408E-2</v>
      </c>
    </row>
    <row r="30" spans="1:13" ht="39.6">
      <c r="A30" s="5" t="s">
        <v>125</v>
      </c>
      <c r="B30" s="3">
        <v>96617</v>
      </c>
      <c r="C30" s="1" t="s">
        <v>13</v>
      </c>
      <c r="D30" s="140" t="s">
        <v>128</v>
      </c>
      <c r="E30" s="3" t="s">
        <v>2</v>
      </c>
      <c r="F30" s="7">
        <f>'Memória de Cálculo'!$I$47</f>
        <v>77.17</v>
      </c>
      <c r="G30" s="70">
        <v>19.809999999999999</v>
      </c>
      <c r="H30" s="57">
        <f t="shared" ref="H30:H31" si="6">TRUNC(G30+G30*$E$10,2)</f>
        <v>24.47</v>
      </c>
      <c r="I30" s="58">
        <f>TRUNC(H30*F30,2)</f>
        <v>1888.34</v>
      </c>
      <c r="J30" s="124">
        <f t="shared" si="5"/>
        <v>1.3915242193038751E-3</v>
      </c>
      <c r="K30" s="144"/>
      <c r="L30" s="144"/>
    </row>
    <row r="31" spans="1:13" ht="39.6">
      <c r="A31" s="5" t="s">
        <v>126</v>
      </c>
      <c r="B31" s="6">
        <v>96535</v>
      </c>
      <c r="C31" s="1" t="s">
        <v>13</v>
      </c>
      <c r="D31" s="141" t="s">
        <v>129</v>
      </c>
      <c r="E31" s="1" t="s">
        <v>2</v>
      </c>
      <c r="F31" s="7">
        <f>'Memória de Cálculo'!I48</f>
        <v>144.63999999999999</v>
      </c>
      <c r="G31" s="70">
        <v>159.99</v>
      </c>
      <c r="H31" s="57">
        <f t="shared" si="6"/>
        <v>197.64</v>
      </c>
      <c r="I31" s="58">
        <f t="shared" ref="I31" si="7">TRUNC(H31*F31,2)</f>
        <v>28586.639999999999</v>
      </c>
      <c r="J31" s="124">
        <f t="shared" si="5"/>
        <v>2.1065593012127546E-2</v>
      </c>
      <c r="K31" s="144"/>
      <c r="L31" s="144"/>
    </row>
    <row r="32" spans="1:13" ht="26.4">
      <c r="A32" s="5" t="s">
        <v>127</v>
      </c>
      <c r="B32" s="6">
        <v>96545</v>
      </c>
      <c r="C32" s="1" t="s">
        <v>13</v>
      </c>
      <c r="D32" s="141" t="s">
        <v>130</v>
      </c>
      <c r="E32" s="1" t="s">
        <v>16</v>
      </c>
      <c r="F32" s="7">
        <f>'Memória de Cálculo'!I49</f>
        <v>113.63</v>
      </c>
      <c r="G32" s="70">
        <v>16.649999999999999</v>
      </c>
      <c r="H32" s="57">
        <f>TRUNC(G32+G32*$E$10,2)</f>
        <v>20.56</v>
      </c>
      <c r="I32" s="58">
        <f t="shared" ref="I32:I38" si="8">TRUNC(H32*F32,2)</f>
        <v>2336.23</v>
      </c>
      <c r="J32" s="124">
        <f t="shared" si="5"/>
        <v>1.7215758956884311E-3</v>
      </c>
      <c r="K32" s="144"/>
      <c r="L32" s="144"/>
    </row>
    <row r="33" spans="1:12" ht="26.4">
      <c r="A33" s="5" t="s">
        <v>132</v>
      </c>
      <c r="B33" s="6">
        <v>96546</v>
      </c>
      <c r="C33" s="1" t="s">
        <v>13</v>
      </c>
      <c r="D33" s="141" t="s">
        <v>131</v>
      </c>
      <c r="E33" s="1" t="s">
        <v>16</v>
      </c>
      <c r="F33" s="7">
        <f>'Memória de Cálculo'!I50</f>
        <v>1199.27</v>
      </c>
      <c r="G33" s="70">
        <v>14.86</v>
      </c>
      <c r="H33" s="57">
        <f t="shared" ref="H33:H35" si="9">TRUNC(G33+G33*$E$10,2)</f>
        <v>18.350000000000001</v>
      </c>
      <c r="I33" s="58">
        <f t="shared" si="8"/>
        <v>22006.6</v>
      </c>
      <c r="J33" s="124">
        <f t="shared" si="5"/>
        <v>1.621673897949133E-2</v>
      </c>
      <c r="K33" s="144"/>
      <c r="L33" s="144"/>
    </row>
    <row r="34" spans="1:12" ht="26.4">
      <c r="A34" s="5" t="s">
        <v>133</v>
      </c>
      <c r="B34" s="6">
        <v>96547</v>
      </c>
      <c r="C34" s="1" t="s">
        <v>13</v>
      </c>
      <c r="D34" s="141" t="s">
        <v>261</v>
      </c>
      <c r="E34" s="1" t="s">
        <v>16</v>
      </c>
      <c r="F34" s="7">
        <f>'Memória de Cálculo'!I51</f>
        <v>1277.81</v>
      </c>
      <c r="G34" s="70">
        <v>12.51</v>
      </c>
      <c r="H34" s="57">
        <f t="shared" ref="H34" si="10">TRUNC(G34+G34*$E$10,2)</f>
        <v>15.45</v>
      </c>
      <c r="I34" s="58">
        <f t="shared" si="8"/>
        <v>19742.16</v>
      </c>
      <c r="J34" s="124">
        <f t="shared" si="5"/>
        <v>1.4548065380901845E-2</v>
      </c>
      <c r="K34" s="144"/>
      <c r="L34" s="144"/>
    </row>
    <row r="35" spans="1:12" ht="26.4">
      <c r="A35" s="5" t="s">
        <v>134</v>
      </c>
      <c r="B35" s="6">
        <v>96548</v>
      </c>
      <c r="C35" s="1" t="s">
        <v>13</v>
      </c>
      <c r="D35" s="141" t="s">
        <v>262</v>
      </c>
      <c r="E35" s="1" t="s">
        <v>16</v>
      </c>
      <c r="F35" s="7">
        <f>'Memória de Cálculo'!I52</f>
        <v>81.45</v>
      </c>
      <c r="G35" s="70">
        <v>11.81</v>
      </c>
      <c r="H35" s="57">
        <f t="shared" si="9"/>
        <v>14.58</v>
      </c>
      <c r="I35" s="58">
        <f t="shared" ref="I35" si="11">TRUNC(H35*F35,2)</f>
        <v>1187.54</v>
      </c>
      <c r="J35" s="124">
        <f t="shared" si="5"/>
        <v>8.7510229693388048E-4</v>
      </c>
      <c r="K35" s="144"/>
      <c r="L35" s="144"/>
    </row>
    <row r="36" spans="1:12" ht="26.4">
      <c r="A36" s="5" t="s">
        <v>136</v>
      </c>
      <c r="B36" s="6">
        <v>96543</v>
      </c>
      <c r="C36" s="1" t="s">
        <v>13</v>
      </c>
      <c r="D36" s="141" t="s">
        <v>135</v>
      </c>
      <c r="E36" s="1" t="s">
        <v>16</v>
      </c>
      <c r="F36" s="7">
        <f>'Memória de Cálculo'!I53</f>
        <v>376.36</v>
      </c>
      <c r="G36" s="70">
        <v>19.18</v>
      </c>
      <c r="H36" s="57">
        <f t="shared" ref="H36" si="12">TRUNC(G36+G36*$E$10,2)</f>
        <v>23.69</v>
      </c>
      <c r="I36" s="58">
        <f t="shared" si="8"/>
        <v>8915.9599999999991</v>
      </c>
      <c r="J36" s="124">
        <f t="shared" si="5"/>
        <v>6.5702014882619538E-3</v>
      </c>
      <c r="K36" s="144"/>
      <c r="L36" s="144"/>
    </row>
    <row r="37" spans="1:12" ht="39.6">
      <c r="A37" s="5" t="s">
        <v>137</v>
      </c>
      <c r="B37" s="6">
        <v>96556</v>
      </c>
      <c r="C37" s="1" t="s">
        <v>13</v>
      </c>
      <c r="D37" s="141" t="s">
        <v>98</v>
      </c>
      <c r="E37" s="1" t="s">
        <v>10</v>
      </c>
      <c r="F37" s="7">
        <f>'Memória de Cálculo'!I54</f>
        <v>46.38</v>
      </c>
      <c r="G37" s="70">
        <v>788.91</v>
      </c>
      <c r="H37" s="57">
        <f t="shared" ref="H37" si="13">TRUNC(G37+G37*$E$10,2)</f>
        <v>974.58</v>
      </c>
      <c r="I37" s="58">
        <f t="shared" si="8"/>
        <v>45201.02</v>
      </c>
      <c r="J37" s="124">
        <f t="shared" si="5"/>
        <v>3.3308786588876392E-2</v>
      </c>
      <c r="K37" s="144"/>
      <c r="L37" s="144"/>
    </row>
    <row r="38" spans="1:12" ht="26.4">
      <c r="A38" s="5" t="s">
        <v>260</v>
      </c>
      <c r="B38" s="6">
        <v>98557</v>
      </c>
      <c r="C38" s="1" t="s">
        <v>13</v>
      </c>
      <c r="D38" s="141" t="s">
        <v>139</v>
      </c>
      <c r="E38" s="3" t="s">
        <v>2</v>
      </c>
      <c r="F38" s="7">
        <f>'Memória de Cálculo'!I55</f>
        <v>82.8</v>
      </c>
      <c r="G38" s="70">
        <v>43.31</v>
      </c>
      <c r="H38" s="57">
        <f t="shared" ref="H38" si="14">TRUNC(G38+G38*$E$10,2)</f>
        <v>53.5</v>
      </c>
      <c r="I38" s="58">
        <f t="shared" si="8"/>
        <v>4429.8</v>
      </c>
      <c r="J38" s="124">
        <f t="shared" si="5"/>
        <v>3.2643348055288275E-3</v>
      </c>
      <c r="K38" s="144"/>
      <c r="L38" s="144"/>
    </row>
    <row r="39" spans="1:12" ht="12.75" customHeight="1">
      <c r="A39" s="230" t="s">
        <v>117</v>
      </c>
      <c r="B39" s="231"/>
      <c r="C39" s="231"/>
      <c r="D39" s="231"/>
      <c r="E39" s="231"/>
      <c r="F39" s="231"/>
      <c r="G39" s="231"/>
      <c r="H39" s="231"/>
      <c r="I39" s="133">
        <f>TRUNC((SUM(I40:I45)),2)</f>
        <v>62918.37</v>
      </c>
      <c r="J39" s="134">
        <f t="shared" si="5"/>
        <v>4.6364762539649829E-2</v>
      </c>
      <c r="L39" s="144"/>
    </row>
    <row r="40" spans="1:12" ht="26.4">
      <c r="A40" s="5" t="s">
        <v>142</v>
      </c>
      <c r="B40" s="3">
        <v>92269</v>
      </c>
      <c r="C40" s="1" t="s">
        <v>13</v>
      </c>
      <c r="D40" s="140" t="s">
        <v>138</v>
      </c>
      <c r="E40" s="3" t="s">
        <v>2</v>
      </c>
      <c r="F40" s="7">
        <f>'Memória de Cálculo'!I57</f>
        <v>165.76</v>
      </c>
      <c r="G40" s="70">
        <v>160.97999999999999</v>
      </c>
      <c r="H40" s="57">
        <f t="shared" ref="H40:H44" si="15">TRUNC(G40+G40*$E$10,2)</f>
        <v>198.86</v>
      </c>
      <c r="I40" s="58">
        <f>TRUNC(H40*F40,2)</f>
        <v>32963.03</v>
      </c>
      <c r="J40" s="124">
        <f t="shared" si="5"/>
        <v>2.429056980556479E-2</v>
      </c>
      <c r="K40" s="144"/>
      <c r="L40" s="144"/>
    </row>
    <row r="41" spans="1:12" ht="39.6">
      <c r="A41" s="5" t="s">
        <v>143</v>
      </c>
      <c r="B41" s="6">
        <v>92762</v>
      </c>
      <c r="C41" s="1" t="s">
        <v>13</v>
      </c>
      <c r="D41" s="141" t="s">
        <v>140</v>
      </c>
      <c r="E41" s="1" t="s">
        <v>16</v>
      </c>
      <c r="F41" s="7">
        <f>'Memória de Cálculo'!I58</f>
        <v>213.36</v>
      </c>
      <c r="G41" s="70">
        <v>13.06</v>
      </c>
      <c r="H41" s="57">
        <f t="shared" si="15"/>
        <v>16.13</v>
      </c>
      <c r="I41" s="58">
        <f t="shared" ref="I41" si="16">TRUNC(H41*F41,2)</f>
        <v>3441.49</v>
      </c>
      <c r="J41" s="124">
        <f t="shared" si="5"/>
        <v>2.5360457785632315E-3</v>
      </c>
      <c r="K41" s="144"/>
      <c r="L41" s="144"/>
    </row>
    <row r="42" spans="1:12" ht="39.6">
      <c r="A42" s="5" t="s">
        <v>144</v>
      </c>
      <c r="B42" s="6">
        <v>92763</v>
      </c>
      <c r="C42" s="1" t="s">
        <v>13</v>
      </c>
      <c r="D42" s="141" t="s">
        <v>264</v>
      </c>
      <c r="E42" s="1" t="s">
        <v>16</v>
      </c>
      <c r="F42" s="7">
        <f>'Memória de Cálculo'!I59</f>
        <v>433.81</v>
      </c>
      <c r="G42" s="70">
        <v>11.02</v>
      </c>
      <c r="H42" s="57">
        <f t="shared" ref="H42" si="17">TRUNC(G42+G42*$E$10,2)</f>
        <v>13.61</v>
      </c>
      <c r="I42" s="58">
        <f t="shared" ref="I42" si="18">TRUNC(H42*F42,2)</f>
        <v>5904.15</v>
      </c>
      <c r="J42" s="124">
        <f t="shared" si="5"/>
        <v>4.3507883746586812E-3</v>
      </c>
      <c r="K42" s="144"/>
      <c r="L42" s="144"/>
    </row>
    <row r="43" spans="1:12" ht="39.6">
      <c r="A43" s="5" t="s">
        <v>145</v>
      </c>
      <c r="B43" s="6">
        <v>92764</v>
      </c>
      <c r="C43" s="1" t="s">
        <v>13</v>
      </c>
      <c r="D43" s="141" t="s">
        <v>266</v>
      </c>
      <c r="E43" s="1" t="s">
        <v>16</v>
      </c>
      <c r="F43" s="7">
        <f>'Memória de Cálculo'!I60</f>
        <v>109.45</v>
      </c>
      <c r="G43" s="70">
        <v>10.74</v>
      </c>
      <c r="H43" s="57">
        <f t="shared" ref="H43" si="19">TRUNC(G43+G43*$E$10,2)</f>
        <v>13.26</v>
      </c>
      <c r="I43" s="58">
        <f t="shared" ref="I43" si="20">TRUNC(H43*F43,2)</f>
        <v>1451.3</v>
      </c>
      <c r="J43" s="124">
        <f t="shared" si="5"/>
        <v>1.0694679451135462E-3</v>
      </c>
      <c r="K43" s="144"/>
      <c r="L43" s="144"/>
    </row>
    <row r="44" spans="1:12" ht="39.6">
      <c r="A44" s="5" t="s">
        <v>263</v>
      </c>
      <c r="B44" s="6">
        <v>92759</v>
      </c>
      <c r="C44" s="1" t="s">
        <v>13</v>
      </c>
      <c r="D44" s="141" t="s">
        <v>141</v>
      </c>
      <c r="E44" s="1" t="s">
        <v>16</v>
      </c>
      <c r="F44" s="7">
        <f>'Memória de Cálculo'!I61</f>
        <v>258.08999999999997</v>
      </c>
      <c r="G44" s="70">
        <v>15.71</v>
      </c>
      <c r="H44" s="57">
        <f t="shared" si="15"/>
        <v>19.399999999999999</v>
      </c>
      <c r="I44" s="58">
        <f>TRUNC(H44*F44,2)</f>
        <v>5006.9399999999996</v>
      </c>
      <c r="J44" s="124">
        <f t="shared" si="5"/>
        <v>3.6896312499874726E-3</v>
      </c>
      <c r="K44" s="144"/>
      <c r="L44" s="144"/>
    </row>
    <row r="45" spans="1:12" ht="39.6">
      <c r="A45" s="5" t="s">
        <v>265</v>
      </c>
      <c r="B45" s="6">
        <v>103669</v>
      </c>
      <c r="C45" s="1" t="s">
        <v>13</v>
      </c>
      <c r="D45" s="141" t="s">
        <v>146</v>
      </c>
      <c r="E45" s="1" t="s">
        <v>10</v>
      </c>
      <c r="F45" s="7">
        <f>'Memória de Cálculo'!I62</f>
        <v>13.09</v>
      </c>
      <c r="G45" s="70">
        <v>875.13</v>
      </c>
      <c r="H45" s="57">
        <f t="shared" ref="H45" si="21">TRUNC(G45+G45*$E$10,2)</f>
        <v>1081.0899999999999</v>
      </c>
      <c r="I45" s="58">
        <f>TRUNC(H45*F45,2)</f>
        <v>14151.46</v>
      </c>
      <c r="J45" s="124">
        <f t="shared" si="5"/>
        <v>1.0428259385762107E-2</v>
      </c>
      <c r="K45" s="144"/>
      <c r="L45" s="144"/>
    </row>
    <row r="46" spans="1:12" ht="12.75" customHeight="1">
      <c r="A46" s="230" t="s">
        <v>118</v>
      </c>
      <c r="B46" s="231"/>
      <c r="C46" s="231"/>
      <c r="D46" s="231"/>
      <c r="E46" s="231"/>
      <c r="F46" s="231"/>
      <c r="G46" s="231"/>
      <c r="H46" s="231"/>
      <c r="I46" s="133">
        <f>TRUNC((SUM(I47:I52)),2)</f>
        <v>41826.82</v>
      </c>
      <c r="J46" s="134">
        <f t="shared" si="5"/>
        <v>3.0822327041985929E-2</v>
      </c>
    </row>
    <row r="47" spans="1:12" ht="26.4">
      <c r="A47" s="5" t="s">
        <v>147</v>
      </c>
      <c r="B47" s="3">
        <v>92270</v>
      </c>
      <c r="C47" s="1" t="s">
        <v>13</v>
      </c>
      <c r="D47" s="140" t="s">
        <v>152</v>
      </c>
      <c r="E47" s="3" t="s">
        <v>2</v>
      </c>
      <c r="F47" s="7">
        <f>'Memória de Cálculo'!I64</f>
        <v>116.19</v>
      </c>
      <c r="G47" s="70">
        <v>194.42</v>
      </c>
      <c r="H47" s="57">
        <f t="shared" ref="H47:H51" si="22">TRUNC(G47+G47*$E$10,2)</f>
        <v>240.17</v>
      </c>
      <c r="I47" s="58">
        <f>TRUNC(H47*F47,2)</f>
        <v>27905.35</v>
      </c>
      <c r="J47" s="124">
        <f t="shared" si="5"/>
        <v>2.0563548075638597E-2</v>
      </c>
      <c r="K47">
        <f>(20.3+20.3+38.7+38.7)*0.4</f>
        <v>47.20000000000001</v>
      </c>
    </row>
    <row r="48" spans="1:12" ht="39.6">
      <c r="A48" s="5" t="s">
        <v>150</v>
      </c>
      <c r="B48" s="6">
        <v>92760</v>
      </c>
      <c r="C48" s="1" t="s">
        <v>13</v>
      </c>
      <c r="D48" s="141" t="s">
        <v>267</v>
      </c>
      <c r="E48" s="1" t="s">
        <v>16</v>
      </c>
      <c r="F48" s="7">
        <f>'Memória de Cálculo'!I65</f>
        <v>1.54</v>
      </c>
      <c r="G48" s="70">
        <v>15.16</v>
      </c>
      <c r="H48" s="57">
        <f t="shared" ref="H48" si="23">TRUNC(G48+G48*$E$10,2)</f>
        <v>18.72</v>
      </c>
      <c r="I48" s="58">
        <f t="shared" ref="I48" si="24">TRUNC(H48*F48,2)</f>
        <v>28.82</v>
      </c>
      <c r="J48" s="124">
        <f t="shared" si="5"/>
        <v>2.1237556796094813E-5</v>
      </c>
    </row>
    <row r="49" spans="1:10" ht="39.6">
      <c r="A49" s="5" t="s">
        <v>151</v>
      </c>
      <c r="B49" s="6">
        <v>92761</v>
      </c>
      <c r="C49" s="1" t="s">
        <v>13</v>
      </c>
      <c r="D49" s="141" t="s">
        <v>153</v>
      </c>
      <c r="E49" s="1" t="s">
        <v>16</v>
      </c>
      <c r="F49" s="7">
        <f>'Memória de Cálculo'!I66</f>
        <v>183.72</v>
      </c>
      <c r="G49" s="70">
        <v>14.46</v>
      </c>
      <c r="H49" s="57">
        <f t="shared" si="22"/>
        <v>17.86</v>
      </c>
      <c r="I49" s="58">
        <f t="shared" ref="I49" si="25">TRUNC(H49*F49,2)</f>
        <v>3281.23</v>
      </c>
      <c r="J49" s="124">
        <f t="shared" si="5"/>
        <v>2.4179496351856415E-3</v>
      </c>
    </row>
    <row r="50" spans="1:10" ht="39.6">
      <c r="A50" s="5" t="s">
        <v>197</v>
      </c>
      <c r="B50" s="6">
        <v>92763</v>
      </c>
      <c r="C50" s="1" t="s">
        <v>13</v>
      </c>
      <c r="D50" s="141" t="s">
        <v>264</v>
      </c>
      <c r="E50" s="1" t="s">
        <v>16</v>
      </c>
      <c r="F50" s="7">
        <f>'Memória de Cálculo'!I67</f>
        <v>94.18</v>
      </c>
      <c r="G50" s="70">
        <v>11.02</v>
      </c>
      <c r="H50" s="57">
        <f t="shared" ref="H50" si="26">TRUNC(G50+G50*$E$10,2)</f>
        <v>13.61</v>
      </c>
      <c r="I50" s="58">
        <f t="shared" ref="I50" si="27">TRUNC(H50*F50,2)</f>
        <v>1281.78</v>
      </c>
      <c r="J50" s="124">
        <f t="shared" si="5"/>
        <v>9.4454807599231121E-4</v>
      </c>
    </row>
    <row r="51" spans="1:10" ht="39.6">
      <c r="A51" s="5" t="s">
        <v>268</v>
      </c>
      <c r="B51" s="6">
        <v>92759</v>
      </c>
      <c r="C51" s="1" t="s">
        <v>13</v>
      </c>
      <c r="D51" s="141" t="s">
        <v>141</v>
      </c>
      <c r="E51" s="1" t="s">
        <v>16</v>
      </c>
      <c r="F51" s="7">
        <f>'Memória de Cálculo'!I68</f>
        <v>87</v>
      </c>
      <c r="G51" s="70">
        <v>15.71</v>
      </c>
      <c r="H51" s="57">
        <f t="shared" si="22"/>
        <v>19.399999999999999</v>
      </c>
      <c r="I51" s="58">
        <f>TRUNC(H51*F51,2)</f>
        <v>1687.8</v>
      </c>
      <c r="J51" s="124">
        <f t="shared" si="5"/>
        <v>1.2437456058448585E-3</v>
      </c>
    </row>
    <row r="52" spans="1:10" ht="52.8">
      <c r="A52" s="5" t="s">
        <v>269</v>
      </c>
      <c r="B52" s="6">
        <v>103682</v>
      </c>
      <c r="C52" s="1" t="s">
        <v>13</v>
      </c>
      <c r="D52" s="141" t="s">
        <v>154</v>
      </c>
      <c r="E52" s="1" t="s">
        <v>10</v>
      </c>
      <c r="F52" s="7">
        <f>'Memória de Cálculo'!I69</f>
        <v>6.93</v>
      </c>
      <c r="G52" s="70">
        <v>892.64</v>
      </c>
      <c r="H52" s="57">
        <f t="shared" ref="H52" si="28">TRUNC(G52+G52*$E$10,2)</f>
        <v>1102.72</v>
      </c>
      <c r="I52" s="58">
        <f>TRUNC(H52*F52,2)</f>
        <v>7641.84</v>
      </c>
      <c r="J52" s="124">
        <f t="shared" si="5"/>
        <v>5.6312980925284249E-3</v>
      </c>
    </row>
    <row r="53" spans="1:10" ht="12.75" customHeight="1">
      <c r="A53" s="230" t="s">
        <v>199</v>
      </c>
      <c r="B53" s="231"/>
      <c r="C53" s="231"/>
      <c r="D53" s="231"/>
      <c r="E53" s="231"/>
      <c r="F53" s="231"/>
      <c r="G53" s="231"/>
      <c r="H53" s="231"/>
      <c r="I53" s="133">
        <f>TRUNC((SUM(I54)),2)</f>
        <v>14920.5</v>
      </c>
      <c r="J53" s="134">
        <f t="shared" si="5"/>
        <v>1.0994967598061508E-2</v>
      </c>
    </row>
    <row r="54" spans="1:10" ht="52.8">
      <c r="A54" s="5" t="s">
        <v>149</v>
      </c>
      <c r="B54" s="3">
        <v>101964</v>
      </c>
      <c r="C54" s="1" t="s">
        <v>13</v>
      </c>
      <c r="D54" s="140" t="s">
        <v>148</v>
      </c>
      <c r="E54" s="3" t="s">
        <v>2</v>
      </c>
      <c r="F54" s="7">
        <f>'Memória de Cálculo'!$I$75</f>
        <v>63.260000000000005</v>
      </c>
      <c r="G54" s="70">
        <v>190.93</v>
      </c>
      <c r="H54" s="57">
        <f t="shared" ref="H54" si="29">TRUNC(G54+G54*$E$10,2)</f>
        <v>235.86</v>
      </c>
      <c r="I54" s="58">
        <f>TRUNC(H54*F54,2)</f>
        <v>14920.5</v>
      </c>
      <c r="J54" s="124">
        <f t="shared" si="5"/>
        <v>1.0994967598061508E-2</v>
      </c>
    </row>
    <row r="55" spans="1:10" ht="14.4">
      <c r="A55" s="232" t="s">
        <v>72</v>
      </c>
      <c r="B55" s="233"/>
      <c r="C55" s="233"/>
      <c r="D55" s="233"/>
      <c r="E55" s="233"/>
      <c r="F55" s="233"/>
      <c r="G55" s="233"/>
      <c r="H55" s="234"/>
      <c r="I55" s="59">
        <f>TRUNC(SUM(I53,I46,I39,I29),2)</f>
        <v>253959.98</v>
      </c>
      <c r="J55" s="125">
        <f>I55/$G$10</f>
        <v>0.18714397984681136</v>
      </c>
    </row>
    <row r="56" spans="1:10">
      <c r="A56" s="225"/>
      <c r="B56" s="225"/>
      <c r="C56" s="225"/>
      <c r="D56" s="225"/>
      <c r="E56" s="225"/>
      <c r="F56" s="225"/>
      <c r="G56" s="225"/>
      <c r="H56" s="225"/>
      <c r="I56" s="225"/>
      <c r="J56" s="28"/>
    </row>
    <row r="57" spans="1:10" ht="12.75" customHeight="1">
      <c r="A57" s="227" t="s">
        <v>116</v>
      </c>
      <c r="B57" s="228"/>
      <c r="C57" s="228"/>
      <c r="D57" s="228"/>
      <c r="E57" s="228"/>
      <c r="F57" s="228"/>
      <c r="G57" s="228"/>
      <c r="H57" s="228"/>
      <c r="I57" s="228">
        <f>TRUNC((SUM(I61)),2)</f>
        <v>129153.01</v>
      </c>
      <c r="J57" s="229">
        <f>I57/$I$127</f>
        <v>9.5173295810603797E-2</v>
      </c>
    </row>
    <row r="58" spans="1:10" ht="52.8">
      <c r="A58" s="5" t="s">
        <v>7</v>
      </c>
      <c r="B58" s="6">
        <v>103328</v>
      </c>
      <c r="C58" s="1" t="s">
        <v>13</v>
      </c>
      <c r="D58" s="141" t="s">
        <v>99</v>
      </c>
      <c r="E58" s="1" t="s">
        <v>2</v>
      </c>
      <c r="F58" s="7">
        <f>'Memória de Cálculo'!$I$78</f>
        <v>77.42</v>
      </c>
      <c r="G58" s="70">
        <v>80.98</v>
      </c>
      <c r="H58" s="57">
        <f t="shared" ref="H58:H59" si="30">TRUNC(G58+G58*$E$10,2)</f>
        <v>100.03</v>
      </c>
      <c r="I58" s="58">
        <f>TRUNC(H58*F58,2)</f>
        <v>7744.32</v>
      </c>
      <c r="J58" s="124">
        <f>I58/$I$127</f>
        <v>5.7068159558338995E-3</v>
      </c>
    </row>
    <row r="59" spans="1:10" ht="52.8">
      <c r="A59" s="5" t="s">
        <v>8</v>
      </c>
      <c r="B59" s="6">
        <v>101166</v>
      </c>
      <c r="C59" s="1" t="s">
        <v>13</v>
      </c>
      <c r="D59" s="141" t="s">
        <v>200</v>
      </c>
      <c r="E59" s="1" t="s">
        <v>10</v>
      </c>
      <c r="F59" s="7">
        <f>'Memória de Cálculo'!$I$85</f>
        <v>136.12</v>
      </c>
      <c r="G59" s="70">
        <v>565.21</v>
      </c>
      <c r="H59" s="57">
        <f t="shared" si="30"/>
        <v>698.23</v>
      </c>
      <c r="I59" s="58">
        <f>TRUNC(H59*F59,2)</f>
        <v>95043.06</v>
      </c>
      <c r="J59" s="124">
        <f>I59/$I$127</f>
        <v>7.0037556725352085E-2</v>
      </c>
    </row>
    <row r="60" spans="1:10" ht="39.6">
      <c r="A60" s="5" t="s">
        <v>219</v>
      </c>
      <c r="B60" s="6">
        <v>101162</v>
      </c>
      <c r="C60" s="1" t="s">
        <v>13</v>
      </c>
      <c r="D60" s="141" t="s">
        <v>220</v>
      </c>
      <c r="E60" s="1" t="s">
        <v>10</v>
      </c>
      <c r="F60" s="7">
        <f>'Memória de Cálculo'!$I$90</f>
        <v>162.34</v>
      </c>
      <c r="G60" s="70">
        <v>131.47</v>
      </c>
      <c r="H60" s="57">
        <f t="shared" ref="H60" si="31">TRUNC(G60+G60*$E$10,2)</f>
        <v>162.41</v>
      </c>
      <c r="I60" s="58">
        <f>TRUNC(H60*F60,2)</f>
        <v>26365.63</v>
      </c>
      <c r="J60" s="124">
        <f>I60/$I$127</f>
        <v>1.9428923129417811E-2</v>
      </c>
    </row>
    <row r="61" spans="1:10" ht="14.4">
      <c r="A61" s="226" t="s">
        <v>72</v>
      </c>
      <c r="B61" s="226"/>
      <c r="C61" s="226"/>
      <c r="D61" s="226"/>
      <c r="E61" s="226"/>
      <c r="F61" s="226"/>
      <c r="G61" s="226"/>
      <c r="H61" s="226"/>
      <c r="I61" s="59">
        <f>TRUNC(SUM(I58:I60),2)</f>
        <v>129153.01</v>
      </c>
      <c r="J61" s="125">
        <f>I61/$I$127</f>
        <v>9.5173295810603797E-2</v>
      </c>
    </row>
    <row r="62" spans="1:10">
      <c r="A62" s="225"/>
      <c r="B62" s="225"/>
      <c r="C62" s="225"/>
      <c r="D62" s="225"/>
      <c r="E62" s="225"/>
      <c r="F62" s="225"/>
      <c r="G62" s="225"/>
      <c r="H62" s="225"/>
      <c r="I62" s="225"/>
      <c r="J62" s="28"/>
    </row>
    <row r="63" spans="1:10" ht="12.75" customHeight="1">
      <c r="A63" s="227" t="s">
        <v>158</v>
      </c>
      <c r="B63" s="228"/>
      <c r="C63" s="228"/>
      <c r="D63" s="228"/>
      <c r="E63" s="228"/>
      <c r="F63" s="228"/>
      <c r="G63" s="228"/>
      <c r="H63" s="228"/>
      <c r="I63" s="228">
        <f>TRUNC((SUM(I66)),2)</f>
        <v>18557.419999999998</v>
      </c>
      <c r="J63" s="229">
        <f>I63/$I$127</f>
        <v>1.3675026413566474E-2</v>
      </c>
    </row>
    <row r="64" spans="1:10" ht="52.8">
      <c r="A64" s="5" t="s">
        <v>9</v>
      </c>
      <c r="B64" s="6">
        <v>87894</v>
      </c>
      <c r="C64" s="1" t="s">
        <v>13</v>
      </c>
      <c r="D64" s="141" t="s">
        <v>155</v>
      </c>
      <c r="E64" s="1" t="s">
        <v>2</v>
      </c>
      <c r="F64" s="7">
        <f>'Memória de Cálculo'!$I$105</f>
        <v>290.96000000000004</v>
      </c>
      <c r="G64" s="70">
        <v>6.71</v>
      </c>
      <c r="H64" s="57">
        <f t="shared" ref="H64:H65" si="32">TRUNC(G64+G64*$E$10,2)</f>
        <v>8.2799999999999994</v>
      </c>
      <c r="I64" s="58">
        <f>TRUNC(H64*F64,2)</f>
        <v>2409.14</v>
      </c>
      <c r="J64" s="124">
        <f>I64/$I$127</f>
        <v>1.7753035246267819E-3</v>
      </c>
    </row>
    <row r="65" spans="1:12" ht="66">
      <c r="A65" s="5" t="s">
        <v>17</v>
      </c>
      <c r="B65" s="6">
        <v>87530</v>
      </c>
      <c r="C65" s="1" t="s">
        <v>13</v>
      </c>
      <c r="D65" s="141" t="s">
        <v>156</v>
      </c>
      <c r="E65" s="1" t="s">
        <v>2</v>
      </c>
      <c r="F65" s="7">
        <f>'Memória de Cálculo'!$I$118</f>
        <v>290.96000000000004</v>
      </c>
      <c r="G65" s="70">
        <v>44.93</v>
      </c>
      <c r="H65" s="57">
        <f t="shared" si="32"/>
        <v>55.5</v>
      </c>
      <c r="I65" s="58">
        <f>TRUNC(H65*F65,2)</f>
        <v>16148.28</v>
      </c>
      <c r="J65" s="124">
        <f>I65/$I$127</f>
        <v>1.1899722888939694E-2</v>
      </c>
      <c r="L65">
        <f>21*40</f>
        <v>840</v>
      </c>
    </row>
    <row r="66" spans="1:12" ht="14.4">
      <c r="A66" s="226" t="s">
        <v>72</v>
      </c>
      <c r="B66" s="226"/>
      <c r="C66" s="226"/>
      <c r="D66" s="226"/>
      <c r="E66" s="226"/>
      <c r="F66" s="226"/>
      <c r="G66" s="226"/>
      <c r="H66" s="226"/>
      <c r="I66" s="59">
        <f>TRUNC(SUM(I64:I65),2)</f>
        <v>18557.419999999998</v>
      </c>
      <c r="J66" s="125">
        <f>I66/$I$127</f>
        <v>1.3675026413566474E-2</v>
      </c>
    </row>
    <row r="67" spans="1:12">
      <c r="A67" s="225"/>
      <c r="B67" s="225"/>
      <c r="C67" s="225"/>
      <c r="D67" s="225"/>
      <c r="E67" s="225"/>
      <c r="F67" s="225"/>
      <c r="G67" s="225"/>
      <c r="H67" s="225"/>
      <c r="I67" s="225"/>
      <c r="J67" s="28"/>
    </row>
    <row r="68" spans="1:12" ht="12.75" customHeight="1">
      <c r="A68" s="227" t="s">
        <v>159</v>
      </c>
      <c r="B68" s="228"/>
      <c r="C68" s="228"/>
      <c r="D68" s="228"/>
      <c r="E68" s="228"/>
      <c r="F68" s="228"/>
      <c r="G68" s="228"/>
      <c r="H68" s="228"/>
      <c r="I68" s="228">
        <f>TRUNC((SUM(I75)),2)</f>
        <v>163832.29</v>
      </c>
      <c r="J68" s="229">
        <f t="shared" ref="J68:J75" si="33">I68/$I$127</f>
        <v>0.12072857612454117</v>
      </c>
    </row>
    <row r="69" spans="1:12" ht="39.6">
      <c r="A69" s="5" t="s">
        <v>160</v>
      </c>
      <c r="B69" s="6">
        <v>97096</v>
      </c>
      <c r="C69" s="1" t="s">
        <v>13</v>
      </c>
      <c r="D69" s="141" t="s">
        <v>109</v>
      </c>
      <c r="E69" s="1" t="s">
        <v>10</v>
      </c>
      <c r="F69" s="7">
        <f>'Memória de Cálculo'!I121</f>
        <v>87.79</v>
      </c>
      <c r="G69" s="70">
        <v>567.36</v>
      </c>
      <c r="H69" s="57">
        <f t="shared" ref="H69:H71" si="34">TRUNC(G69+G69*$E$10,2)</f>
        <v>700.89</v>
      </c>
      <c r="I69" s="58">
        <f t="shared" ref="I69:I74" si="35">TRUNC(H69*F69,2)</f>
        <v>61531.13</v>
      </c>
      <c r="J69" s="124">
        <f t="shared" si="33"/>
        <v>4.5342500628136481E-2</v>
      </c>
    </row>
    <row r="70" spans="1:12" ht="26.4">
      <c r="A70" s="5" t="s">
        <v>161</v>
      </c>
      <c r="B70" s="6">
        <v>97088</v>
      </c>
      <c r="C70" s="1" t="s">
        <v>13</v>
      </c>
      <c r="D70" s="141" t="s">
        <v>203</v>
      </c>
      <c r="E70" s="1" t="s">
        <v>16</v>
      </c>
      <c r="F70" s="7">
        <f>'Memória de Cálculo'!I122</f>
        <v>608</v>
      </c>
      <c r="G70" s="70">
        <v>15.84</v>
      </c>
      <c r="H70" s="57">
        <f t="shared" ref="H70" si="36">TRUNC(G70+G70*$E$10,2)</f>
        <v>19.559999999999999</v>
      </c>
      <c r="I70" s="58">
        <f t="shared" ref="I70" si="37">TRUNC(H70*F70,2)</f>
        <v>11892.48</v>
      </c>
      <c r="J70" s="124">
        <f t="shared" si="33"/>
        <v>8.7636092798897176E-3</v>
      </c>
    </row>
    <row r="71" spans="1:12" ht="26.4">
      <c r="A71" s="5" t="s">
        <v>167</v>
      </c>
      <c r="B71" s="6">
        <v>97097</v>
      </c>
      <c r="C71" s="1" t="s">
        <v>13</v>
      </c>
      <c r="D71" s="141" t="s">
        <v>157</v>
      </c>
      <c r="E71" s="1" t="s">
        <v>2</v>
      </c>
      <c r="F71" s="7">
        <f>'Memória de Cálculo'!I123</f>
        <v>760</v>
      </c>
      <c r="G71" s="70">
        <v>40.83</v>
      </c>
      <c r="H71" s="57">
        <f t="shared" si="34"/>
        <v>50.43</v>
      </c>
      <c r="I71" s="58">
        <f t="shared" si="35"/>
        <v>38326.800000000003</v>
      </c>
      <c r="J71" s="124">
        <f t="shared" si="33"/>
        <v>2.8243150305779556E-2</v>
      </c>
      <c r="L71" s="132">
        <f>I71+I72+I73</f>
        <v>80345.680000000008</v>
      </c>
    </row>
    <row r="72" spans="1:12" ht="26.4">
      <c r="A72" s="5" t="s">
        <v>168</v>
      </c>
      <c r="B72" s="6" t="s">
        <v>54</v>
      </c>
      <c r="C72" s="208" t="s">
        <v>350</v>
      </c>
      <c r="D72" s="141" t="s">
        <v>280</v>
      </c>
      <c r="E72" s="1" t="s">
        <v>1</v>
      </c>
      <c r="F72" s="7">
        <f>'Memória de Cálculo'!I124</f>
        <v>608</v>
      </c>
      <c r="G72" s="70">
        <f>'Composições Unitárias'!$H$24</f>
        <v>9.7899999999999991</v>
      </c>
      <c r="H72" s="57">
        <f t="shared" ref="H72:H73" si="38">TRUNC(G72+G72*$E$10,2)</f>
        <v>12.09</v>
      </c>
      <c r="I72" s="58">
        <f t="shared" si="35"/>
        <v>7350.72</v>
      </c>
      <c r="J72" s="124">
        <f t="shared" si="33"/>
        <v>5.4167707665576017E-3</v>
      </c>
      <c r="L72" s="132"/>
    </row>
    <row r="73" spans="1:12" ht="26.4">
      <c r="A73" s="5" t="s">
        <v>169</v>
      </c>
      <c r="B73" s="6">
        <v>98577</v>
      </c>
      <c r="C73" s="1" t="s">
        <v>13</v>
      </c>
      <c r="D73" s="141" t="s">
        <v>162</v>
      </c>
      <c r="E73" s="1" t="s">
        <v>1</v>
      </c>
      <c r="F73" s="7">
        <f>'Memória de Cálculo'!I125</f>
        <v>608</v>
      </c>
      <c r="G73" s="70">
        <v>46.16</v>
      </c>
      <c r="H73" s="57">
        <f t="shared" si="38"/>
        <v>57.02</v>
      </c>
      <c r="I73" s="58">
        <f t="shared" si="35"/>
        <v>34668.160000000003</v>
      </c>
      <c r="J73" s="124">
        <f t="shared" si="33"/>
        <v>2.5547085947817572E-2</v>
      </c>
      <c r="L73" s="132"/>
    </row>
    <row r="74" spans="1:12" ht="66">
      <c r="A74" s="5" t="s">
        <v>202</v>
      </c>
      <c r="B74" s="6">
        <v>94273</v>
      </c>
      <c r="C74" s="1" t="s">
        <v>13</v>
      </c>
      <c r="D74" s="141" t="s">
        <v>183</v>
      </c>
      <c r="E74" s="1" t="s">
        <v>1</v>
      </c>
      <c r="F74" s="7">
        <f>'Memória de Cálculo'!I126</f>
        <v>136.80000000000001</v>
      </c>
      <c r="G74" s="70">
        <v>59.55</v>
      </c>
      <c r="H74" s="57">
        <f t="shared" ref="H74" si="39">TRUNC(G74+G74*$E$10,2)</f>
        <v>73.56</v>
      </c>
      <c r="I74" s="58">
        <f t="shared" si="35"/>
        <v>10063</v>
      </c>
      <c r="J74" s="124">
        <f t="shared" si="33"/>
        <v>7.4154591963602398E-3</v>
      </c>
    </row>
    <row r="75" spans="1:12" ht="14.4">
      <c r="A75" s="232" t="s">
        <v>72</v>
      </c>
      <c r="B75" s="233"/>
      <c r="C75" s="233"/>
      <c r="D75" s="233"/>
      <c r="E75" s="233"/>
      <c r="F75" s="233"/>
      <c r="G75" s="233"/>
      <c r="H75" s="234"/>
      <c r="I75" s="59">
        <f>TRUNC(SUM(I69:I74),2)</f>
        <v>163832.29</v>
      </c>
      <c r="J75" s="125">
        <f t="shared" si="33"/>
        <v>0.12072857612454117</v>
      </c>
    </row>
    <row r="76" spans="1:12">
      <c r="A76" s="225"/>
      <c r="B76" s="225"/>
      <c r="C76" s="225"/>
      <c r="D76" s="225"/>
      <c r="E76" s="225"/>
      <c r="F76" s="225"/>
      <c r="G76" s="225"/>
      <c r="H76" s="225"/>
      <c r="I76" s="225"/>
      <c r="J76" s="28"/>
    </row>
    <row r="77" spans="1:12" ht="12.75" customHeight="1">
      <c r="A77" s="227" t="s">
        <v>254</v>
      </c>
      <c r="B77" s="228"/>
      <c r="C77" s="228"/>
      <c r="D77" s="228"/>
      <c r="E77" s="228"/>
      <c r="F77" s="228"/>
      <c r="G77" s="228"/>
      <c r="H77" s="228"/>
      <c r="I77" s="228">
        <f>TRUNC((SUM(I94)),2)</f>
        <v>672141.06</v>
      </c>
      <c r="J77" s="229">
        <f t="shared" ref="J77:J93" si="40">I77/$I$127</f>
        <v>0.49530305124001989</v>
      </c>
    </row>
    <row r="78" spans="1:12" ht="39.6">
      <c r="A78" s="5" t="s">
        <v>170</v>
      </c>
      <c r="B78" s="6" t="s">
        <v>333</v>
      </c>
      <c r="C78" s="208" t="s">
        <v>351</v>
      </c>
      <c r="D78" s="141" t="s">
        <v>345</v>
      </c>
      <c r="E78" s="1" t="s">
        <v>16</v>
      </c>
      <c r="F78" s="7">
        <f>'Memória de Cálculo'!I129</f>
        <v>25492.71</v>
      </c>
      <c r="G78" s="70">
        <f>'Composições Unitárias'!$H$99</f>
        <v>4.26</v>
      </c>
      <c r="H78" s="57">
        <f t="shared" ref="H78:H85" si="41">TRUNC(G78+G78*$E$10,2)</f>
        <v>5.26</v>
      </c>
      <c r="I78" s="58">
        <f t="shared" ref="I78:I93" si="42">TRUNC(H78*F78,2)</f>
        <v>134091.65</v>
      </c>
      <c r="J78" s="124">
        <f t="shared" si="40"/>
        <v>9.8812596556456175E-2</v>
      </c>
    </row>
    <row r="79" spans="1:12" ht="39.6">
      <c r="A79" s="5" t="s">
        <v>171</v>
      </c>
      <c r="B79" s="6">
        <v>1332</v>
      </c>
      <c r="C79" s="208" t="s">
        <v>343</v>
      </c>
      <c r="D79" s="2" t="s">
        <v>327</v>
      </c>
      <c r="E79" s="1" t="s">
        <v>16</v>
      </c>
      <c r="F79" s="7">
        <f>'Memória de Cálculo'!I130</f>
        <v>46.338098967000001</v>
      </c>
      <c r="G79" s="70">
        <v>8.68</v>
      </c>
      <c r="H79" s="57">
        <f>TRUNC(G79+G79*$F$10,2)</f>
        <v>10</v>
      </c>
      <c r="I79" s="58">
        <f t="shared" si="42"/>
        <v>463.38</v>
      </c>
      <c r="J79" s="124">
        <f t="shared" si="40"/>
        <v>3.4146631048488602E-4</v>
      </c>
    </row>
    <row r="80" spans="1:12" ht="39.6">
      <c r="A80" s="5" t="s">
        <v>172</v>
      </c>
      <c r="B80" s="6">
        <v>1333</v>
      </c>
      <c r="C80" s="208" t="s">
        <v>343</v>
      </c>
      <c r="D80" s="2" t="s">
        <v>328</v>
      </c>
      <c r="E80" s="1" t="s">
        <v>16</v>
      </c>
      <c r="F80" s="7">
        <f>'Memória de Cálculo'!I132</f>
        <v>163.76</v>
      </c>
      <c r="G80" s="70">
        <v>8.5500000000000007</v>
      </c>
      <c r="H80" s="57">
        <f t="shared" ref="H80:H83" si="43">TRUNC(G80+G80*$F$10,2)</f>
        <v>9.85</v>
      </c>
      <c r="I80" s="58">
        <f t="shared" ref="I80" si="44">TRUNC(H80*F80,2)</f>
        <v>1613.03</v>
      </c>
      <c r="J80" s="124">
        <f t="shared" ref="J80" si="45">I80/$I$127</f>
        <v>1.1886473365303545E-3</v>
      </c>
    </row>
    <row r="81" spans="1:10" ht="39.6">
      <c r="A81" s="5" t="s">
        <v>173</v>
      </c>
      <c r="B81" s="6">
        <v>4777</v>
      </c>
      <c r="C81" s="208" t="s">
        <v>343</v>
      </c>
      <c r="D81" s="2" t="s">
        <v>329</v>
      </c>
      <c r="E81" s="1" t="s">
        <v>16</v>
      </c>
      <c r="F81" s="7">
        <f>'Memória de Cálculo'!I134</f>
        <v>13172.91</v>
      </c>
      <c r="G81" s="70">
        <v>10.42</v>
      </c>
      <c r="H81" s="57">
        <f t="shared" si="43"/>
        <v>12.01</v>
      </c>
      <c r="I81" s="58">
        <f t="shared" si="42"/>
        <v>158206.64000000001</v>
      </c>
      <c r="J81" s="124">
        <f t="shared" si="40"/>
        <v>0.11658301535459147</v>
      </c>
    </row>
    <row r="82" spans="1:10" ht="39.6">
      <c r="A82" s="5" t="s">
        <v>226</v>
      </c>
      <c r="B82" s="6">
        <v>10966</v>
      </c>
      <c r="C82" s="208" t="s">
        <v>343</v>
      </c>
      <c r="D82" s="2" t="s">
        <v>330</v>
      </c>
      <c r="E82" s="1" t="s">
        <v>16</v>
      </c>
      <c r="F82" s="7">
        <f>'Memória de Cálculo'!I136</f>
        <v>14429.52</v>
      </c>
      <c r="G82" s="70">
        <v>11.85</v>
      </c>
      <c r="H82" s="57">
        <f t="shared" si="43"/>
        <v>13.66</v>
      </c>
      <c r="I82" s="58">
        <f t="shared" ref="I82" si="46">TRUNC(H82*F82,2)</f>
        <v>197107.24</v>
      </c>
      <c r="J82" s="124">
        <f t="shared" ref="J82" si="47">I82/$I$127</f>
        <v>0.14524900084737999</v>
      </c>
    </row>
    <row r="83" spans="1:10" ht="39.6">
      <c r="A83" s="5" t="s">
        <v>227</v>
      </c>
      <c r="B83" s="6">
        <v>10997</v>
      </c>
      <c r="C83" s="208" t="s">
        <v>343</v>
      </c>
      <c r="D83" s="2" t="s">
        <v>331</v>
      </c>
      <c r="E83" s="1" t="s">
        <v>16</v>
      </c>
      <c r="F83" s="7">
        <f>'Memória de Cálculo'!I138</f>
        <v>45.88</v>
      </c>
      <c r="G83" s="70">
        <v>25.95</v>
      </c>
      <c r="H83" s="57">
        <f t="shared" si="43"/>
        <v>29.91</v>
      </c>
      <c r="I83" s="58">
        <f t="shared" ref="I83" si="48">TRUNC(H83*F83,2)</f>
        <v>1372.27</v>
      </c>
      <c r="J83" s="124">
        <f t="shared" ref="J83" si="49">I83/$I$127</f>
        <v>1.0112304671955944E-3</v>
      </c>
    </row>
    <row r="84" spans="1:10" ht="26.4">
      <c r="A84" s="5" t="s">
        <v>228</v>
      </c>
      <c r="B84" s="6">
        <v>94213</v>
      </c>
      <c r="C84" s="1" t="s">
        <v>13</v>
      </c>
      <c r="D84" s="141" t="s">
        <v>223</v>
      </c>
      <c r="E84" s="1" t="s">
        <v>2</v>
      </c>
      <c r="F84" s="7">
        <f>'Memória de Cálculo'!I140</f>
        <v>1644.59</v>
      </c>
      <c r="G84" s="70">
        <v>73.08</v>
      </c>
      <c r="H84" s="57">
        <f t="shared" si="41"/>
        <v>90.27</v>
      </c>
      <c r="I84" s="58">
        <f t="shared" si="42"/>
        <v>148457.13</v>
      </c>
      <c r="J84" s="124">
        <f t="shared" si="40"/>
        <v>0.10939856801388728</v>
      </c>
    </row>
    <row r="85" spans="1:10" ht="39.6">
      <c r="A85" s="5" t="s">
        <v>229</v>
      </c>
      <c r="B85" s="6">
        <v>94228</v>
      </c>
      <c r="C85" s="1" t="s">
        <v>13</v>
      </c>
      <c r="D85" s="141" t="s">
        <v>224</v>
      </c>
      <c r="E85" s="1" t="s">
        <v>1</v>
      </c>
      <c r="F85" s="7">
        <f>'Memória de Cálculo'!I141</f>
        <v>85.4</v>
      </c>
      <c r="G85" s="70">
        <v>76.989999999999995</v>
      </c>
      <c r="H85" s="57">
        <f t="shared" si="41"/>
        <v>95.1</v>
      </c>
      <c r="I85" s="58">
        <f t="shared" si="42"/>
        <v>8121.54</v>
      </c>
      <c r="J85" s="124">
        <f t="shared" si="40"/>
        <v>5.9847906669589128E-3</v>
      </c>
    </row>
    <row r="86" spans="1:10" ht="26.4">
      <c r="A86" s="5" t="s">
        <v>230</v>
      </c>
      <c r="B86" s="6" t="s">
        <v>286</v>
      </c>
      <c r="C86" s="208" t="s">
        <v>352</v>
      </c>
      <c r="D86" s="2" t="s">
        <v>362</v>
      </c>
      <c r="E86" s="1" t="s">
        <v>1</v>
      </c>
      <c r="F86" s="7">
        <f>'Memória de Cálculo'!I142</f>
        <v>42.7</v>
      </c>
      <c r="G86" s="70">
        <f>'Composições Unitárias'!$H$35</f>
        <v>99.12</v>
      </c>
      <c r="H86" s="57">
        <f t="shared" ref="H86:H89" si="50">TRUNC(G86+G86*$E$10,2)</f>
        <v>122.44</v>
      </c>
      <c r="I86" s="58">
        <f t="shared" si="42"/>
        <v>5228.18</v>
      </c>
      <c r="J86" s="160">
        <f t="shared" si="40"/>
        <v>3.8526637644069046E-3</v>
      </c>
    </row>
    <row r="87" spans="1:10" ht="39.6">
      <c r="A87" s="5" t="s">
        <v>231</v>
      </c>
      <c r="B87" s="6">
        <v>89578</v>
      </c>
      <c r="C87" s="1" t="s">
        <v>13</v>
      </c>
      <c r="D87" s="141" t="s">
        <v>233</v>
      </c>
      <c r="E87" s="1" t="s">
        <v>1</v>
      </c>
      <c r="F87" s="7">
        <f>'Memória de Cálculo'!I143</f>
        <v>40</v>
      </c>
      <c r="G87" s="70">
        <v>35.840000000000003</v>
      </c>
      <c r="H87" s="57">
        <f t="shared" si="50"/>
        <v>44.27</v>
      </c>
      <c r="I87" s="58">
        <f t="shared" si="42"/>
        <v>1770.8</v>
      </c>
      <c r="J87" s="124">
        <f t="shared" si="40"/>
        <v>1.3049085903721269E-3</v>
      </c>
    </row>
    <row r="88" spans="1:10" ht="39.6">
      <c r="A88" s="5" t="s">
        <v>232</v>
      </c>
      <c r="B88" s="6">
        <v>89580</v>
      </c>
      <c r="C88" s="1" t="s">
        <v>13</v>
      </c>
      <c r="D88" s="141" t="s">
        <v>234</v>
      </c>
      <c r="E88" s="1" t="s">
        <v>1</v>
      </c>
      <c r="F88" s="7">
        <f>'Memória de Cálculo'!I144</f>
        <v>25</v>
      </c>
      <c r="G88" s="70">
        <v>74.319999999999993</v>
      </c>
      <c r="H88" s="57">
        <f t="shared" si="50"/>
        <v>91.81</v>
      </c>
      <c r="I88" s="58">
        <f t="shared" si="42"/>
        <v>2295.25</v>
      </c>
      <c r="J88" s="124">
        <f t="shared" si="40"/>
        <v>1.6913775932073775E-3</v>
      </c>
    </row>
    <row r="89" spans="1:10" ht="39.6">
      <c r="A89" s="5" t="s">
        <v>322</v>
      </c>
      <c r="B89" s="6">
        <v>89580</v>
      </c>
      <c r="C89" s="1" t="s">
        <v>13</v>
      </c>
      <c r="D89" s="2" t="s">
        <v>239</v>
      </c>
      <c r="E89" s="1" t="s">
        <v>1</v>
      </c>
      <c r="F89" s="7">
        <f>'Memória de Cálculo'!I145</f>
        <v>50</v>
      </c>
      <c r="G89" s="70">
        <v>74.319999999999993</v>
      </c>
      <c r="H89" s="57">
        <f t="shared" si="50"/>
        <v>91.81</v>
      </c>
      <c r="I89" s="58">
        <f t="shared" si="42"/>
        <v>4590.5</v>
      </c>
      <c r="J89" s="124">
        <f t="shared" si="40"/>
        <v>3.382755186414755E-3</v>
      </c>
    </row>
    <row r="90" spans="1:10" ht="52.8">
      <c r="A90" s="5" t="s">
        <v>323</v>
      </c>
      <c r="B90" s="6">
        <v>89746</v>
      </c>
      <c r="C90" s="1" t="s">
        <v>13</v>
      </c>
      <c r="D90" s="141" t="s">
        <v>235</v>
      </c>
      <c r="E90" s="1" t="s">
        <v>103</v>
      </c>
      <c r="F90" s="7">
        <f>'Memória de Cálculo'!I146</f>
        <v>12</v>
      </c>
      <c r="G90" s="70">
        <v>30.13</v>
      </c>
      <c r="H90" s="57">
        <f t="shared" ref="H90:H92" si="51">TRUNC(G90+G90*$E$10,2)</f>
        <v>37.22</v>
      </c>
      <c r="I90" s="58">
        <f t="shared" si="42"/>
        <v>446.64</v>
      </c>
      <c r="J90" s="124">
        <f t="shared" si="40"/>
        <v>3.2913054709950683E-4</v>
      </c>
    </row>
    <row r="91" spans="1:10" ht="52.8">
      <c r="A91" s="5" t="s">
        <v>324</v>
      </c>
      <c r="B91" s="6">
        <v>89744</v>
      </c>
      <c r="C91" s="1" t="s">
        <v>13</v>
      </c>
      <c r="D91" s="141" t="s">
        <v>236</v>
      </c>
      <c r="E91" s="1" t="s">
        <v>103</v>
      </c>
      <c r="F91" s="7">
        <f>'Memória de Cálculo'!I147</f>
        <v>12</v>
      </c>
      <c r="G91" s="70">
        <v>29.21</v>
      </c>
      <c r="H91" s="57">
        <f t="shared" si="51"/>
        <v>36.08</v>
      </c>
      <c r="I91" s="58">
        <f t="shared" si="42"/>
        <v>432.96</v>
      </c>
      <c r="J91" s="124">
        <f t="shared" si="40"/>
        <v>3.1904970820392819E-4</v>
      </c>
    </row>
    <row r="92" spans="1:10" ht="39.6">
      <c r="A92" s="5" t="s">
        <v>325</v>
      </c>
      <c r="B92" s="6">
        <v>89567</v>
      </c>
      <c r="C92" s="1" t="s">
        <v>13</v>
      </c>
      <c r="D92" s="135" t="s">
        <v>237</v>
      </c>
      <c r="E92" s="1" t="s">
        <v>103</v>
      </c>
      <c r="F92" s="7">
        <f>'Memória de Cálculo'!I148</f>
        <v>3</v>
      </c>
      <c r="G92" s="70">
        <v>86.5</v>
      </c>
      <c r="H92" s="57">
        <f t="shared" si="51"/>
        <v>106.85</v>
      </c>
      <c r="I92" s="58">
        <f t="shared" si="42"/>
        <v>320.55</v>
      </c>
      <c r="J92" s="124">
        <f t="shared" si="40"/>
        <v>2.3621439385802196E-4</v>
      </c>
    </row>
    <row r="93" spans="1:10" ht="39.6">
      <c r="A93" s="5" t="s">
        <v>326</v>
      </c>
      <c r="B93" s="6">
        <v>97907</v>
      </c>
      <c r="C93" s="1" t="s">
        <v>13</v>
      </c>
      <c r="D93" s="141" t="s">
        <v>238</v>
      </c>
      <c r="E93" s="1" t="s">
        <v>103</v>
      </c>
      <c r="F93" s="7">
        <f>'Memória de Cálculo'!I149</f>
        <v>10</v>
      </c>
      <c r="G93" s="70">
        <v>617.1</v>
      </c>
      <c r="H93" s="57">
        <f t="shared" ref="H93" si="52">TRUNC(G93+G93*$E$10,2)</f>
        <v>762.33</v>
      </c>
      <c r="I93" s="58">
        <f t="shared" si="42"/>
        <v>7623.3</v>
      </c>
      <c r="J93" s="124">
        <f t="shared" si="40"/>
        <v>5.6176359029725745E-3</v>
      </c>
    </row>
    <row r="94" spans="1:10" ht="14.4">
      <c r="A94" s="226" t="s">
        <v>72</v>
      </c>
      <c r="B94" s="226"/>
      <c r="C94" s="226"/>
      <c r="D94" s="226"/>
      <c r="E94" s="226"/>
      <c r="F94" s="226"/>
      <c r="G94" s="226"/>
      <c r="H94" s="226"/>
      <c r="I94" s="59">
        <f>TRUNC(SUM(I78:I93),2)</f>
        <v>672141.06</v>
      </c>
      <c r="J94" s="125">
        <f>I94/$I$127</f>
        <v>0.49530305124001989</v>
      </c>
    </row>
    <row r="95" spans="1:10">
      <c r="A95" s="225"/>
      <c r="B95" s="225"/>
      <c r="C95" s="225"/>
      <c r="D95" s="225"/>
      <c r="E95" s="225"/>
      <c r="F95" s="225"/>
      <c r="G95" s="225"/>
      <c r="H95" s="225"/>
      <c r="I95" s="225"/>
      <c r="J95" s="28"/>
    </row>
    <row r="96" spans="1:10" ht="12.75" customHeight="1">
      <c r="A96" s="227" t="s">
        <v>240</v>
      </c>
      <c r="B96" s="228"/>
      <c r="C96" s="228"/>
      <c r="D96" s="228"/>
      <c r="E96" s="228"/>
      <c r="F96" s="228"/>
      <c r="G96" s="228"/>
      <c r="H96" s="228"/>
      <c r="I96" s="228">
        <f>TRUNC((SUM(I101)),2)</f>
        <v>20674.740000000002</v>
      </c>
      <c r="J96" s="229">
        <f t="shared" ref="J96:J101" si="53">I96/$I$127</f>
        <v>1.5235286779822808E-2</v>
      </c>
    </row>
    <row r="97" spans="1:12" ht="13.2" customHeight="1">
      <c r="A97" s="5" t="s">
        <v>174</v>
      </c>
      <c r="B97" s="6">
        <v>96135</v>
      </c>
      <c r="C97" s="1" t="s">
        <v>13</v>
      </c>
      <c r="D97" s="141" t="s">
        <v>163</v>
      </c>
      <c r="E97" s="1" t="s">
        <v>2</v>
      </c>
      <c r="F97" s="7">
        <f>'Memória de Cálculo'!$I$164</f>
        <v>290.96000000000004</v>
      </c>
      <c r="G97" s="70">
        <v>25.06</v>
      </c>
      <c r="H97" s="57">
        <f t="shared" ref="H97:H100" si="54">TRUNC(G97+G97*$E$10,2)</f>
        <v>30.95</v>
      </c>
      <c r="I97" s="58">
        <f>TRUNC(H97*F97,2)</f>
        <v>9005.2099999999991</v>
      </c>
      <c r="J97" s="124">
        <f t="shared" si="53"/>
        <v>6.6359701192144679E-3</v>
      </c>
    </row>
    <row r="98" spans="1:12" ht="39.6">
      <c r="A98" s="5" t="s">
        <v>175</v>
      </c>
      <c r="B98" s="6">
        <v>88423</v>
      </c>
      <c r="C98" s="1" t="s">
        <v>13</v>
      </c>
      <c r="D98" s="141" t="s">
        <v>100</v>
      </c>
      <c r="E98" s="1" t="s">
        <v>2</v>
      </c>
      <c r="F98" s="7">
        <f>'Memória de Cálculo'!$I$177</f>
        <v>290.96000000000004</v>
      </c>
      <c r="G98" s="70">
        <v>19.78</v>
      </c>
      <c r="H98" s="57">
        <f t="shared" si="54"/>
        <v>24.43</v>
      </c>
      <c r="I98" s="58">
        <f>TRUNC(H98*F98,2)</f>
        <v>7108.15</v>
      </c>
      <c r="J98" s="124">
        <f t="shared" si="53"/>
        <v>5.2380201020180896E-3</v>
      </c>
    </row>
    <row r="99" spans="1:12" ht="39.6">
      <c r="A99" s="5" t="s">
        <v>176</v>
      </c>
      <c r="B99" s="6">
        <v>102492</v>
      </c>
      <c r="C99" s="1" t="s">
        <v>13</v>
      </c>
      <c r="D99" s="141" t="s">
        <v>204</v>
      </c>
      <c r="E99" s="1" t="s">
        <v>2</v>
      </c>
      <c r="F99" s="7">
        <f>'Memória de Cálculo'!$I$178</f>
        <v>26.83</v>
      </c>
      <c r="G99" s="70">
        <v>25.97</v>
      </c>
      <c r="H99" s="57">
        <f t="shared" si="54"/>
        <v>32.08</v>
      </c>
      <c r="I99" s="58">
        <f t="shared" ref="I99:I100" si="55">TRUNC(H99*F99,2)</f>
        <v>860.7</v>
      </c>
      <c r="J99" s="124">
        <f t="shared" si="53"/>
        <v>6.3425278051349083E-4</v>
      </c>
    </row>
    <row r="100" spans="1:12" ht="39.6">
      <c r="A100" s="5" t="s">
        <v>177</v>
      </c>
      <c r="B100" s="6">
        <v>100753</v>
      </c>
      <c r="C100" s="1" t="s">
        <v>13</v>
      </c>
      <c r="D100" s="141" t="s">
        <v>164</v>
      </c>
      <c r="E100" s="1" t="s">
        <v>2</v>
      </c>
      <c r="F100" s="7">
        <f>'Memória de Cálculo'!$I$184</f>
        <v>138.24</v>
      </c>
      <c r="G100" s="70">
        <v>21.67</v>
      </c>
      <c r="H100" s="57">
        <f t="shared" si="54"/>
        <v>26.77</v>
      </c>
      <c r="I100" s="58">
        <f t="shared" si="55"/>
        <v>3700.68</v>
      </c>
      <c r="J100" s="124">
        <f t="shared" si="53"/>
        <v>2.7270437780767577E-3</v>
      </c>
    </row>
    <row r="101" spans="1:12" ht="14.4">
      <c r="A101" s="226" t="s">
        <v>72</v>
      </c>
      <c r="B101" s="226"/>
      <c r="C101" s="226"/>
      <c r="D101" s="226"/>
      <c r="E101" s="226"/>
      <c r="F101" s="226"/>
      <c r="G101" s="226"/>
      <c r="H101" s="226"/>
      <c r="I101" s="59">
        <f>TRUNC(SUM(I97:I100),2)</f>
        <v>20674.740000000002</v>
      </c>
      <c r="J101" s="125">
        <f t="shared" si="53"/>
        <v>1.5235286779822808E-2</v>
      </c>
    </row>
    <row r="102" spans="1:12">
      <c r="A102" s="225"/>
      <c r="B102" s="225"/>
      <c r="C102" s="225"/>
      <c r="D102" s="225"/>
      <c r="E102" s="225"/>
      <c r="F102" s="225"/>
      <c r="G102" s="225"/>
      <c r="H102" s="225"/>
      <c r="I102" s="225"/>
      <c r="J102" s="28"/>
    </row>
    <row r="103" spans="1:12" ht="12.75" customHeight="1">
      <c r="A103" s="227" t="s">
        <v>358</v>
      </c>
      <c r="B103" s="228"/>
      <c r="C103" s="228"/>
      <c r="D103" s="228"/>
      <c r="E103" s="228"/>
      <c r="F103" s="228"/>
      <c r="G103" s="228"/>
      <c r="H103" s="228"/>
      <c r="I103" s="228">
        <f>TRUNC((SUM(I108)),2)</f>
        <v>46476.54</v>
      </c>
      <c r="J103" s="229">
        <f t="shared" ref="J103:J108" si="56">I103/$I$127</f>
        <v>3.4248721649409175E-2</v>
      </c>
    </row>
    <row r="104" spans="1:12" ht="66">
      <c r="A104" s="5" t="s">
        <v>178</v>
      </c>
      <c r="B104" s="6">
        <v>102364</v>
      </c>
      <c r="C104" s="1" t="s">
        <v>13</v>
      </c>
      <c r="D104" s="141" t="s">
        <v>165</v>
      </c>
      <c r="E104" s="1" t="s">
        <v>2</v>
      </c>
      <c r="F104" s="7">
        <f>'Memória de Cálculo'!$I$192</f>
        <v>138.24</v>
      </c>
      <c r="G104" s="70">
        <v>206.91</v>
      </c>
      <c r="H104" s="57">
        <f t="shared" ref="H104:H106" si="57">TRUNC(G104+G104*$E$10,2)</f>
        <v>255.6</v>
      </c>
      <c r="I104" s="58">
        <f>TRUNC(H104*F104,2)</f>
        <v>35334.14</v>
      </c>
      <c r="J104" s="124">
        <f t="shared" si="56"/>
        <v>2.6037848892823234E-2</v>
      </c>
    </row>
    <row r="105" spans="1:12" ht="39.6">
      <c r="A105" s="5" t="s">
        <v>179</v>
      </c>
      <c r="B105" s="6" t="s">
        <v>287</v>
      </c>
      <c r="C105" s="208" t="s">
        <v>357</v>
      </c>
      <c r="D105" s="141" t="s">
        <v>356</v>
      </c>
      <c r="E105" s="1" t="s">
        <v>103</v>
      </c>
      <c r="F105" s="7">
        <f>'Memória de Cálculo'!I193</f>
        <v>2</v>
      </c>
      <c r="G105" s="70">
        <f>'Composições Unitárias'!$H$50</f>
        <v>1055.04</v>
      </c>
      <c r="H105" s="57">
        <f t="shared" si="57"/>
        <v>1303.3399999999999</v>
      </c>
      <c r="I105" s="58">
        <f t="shared" ref="I105" si="58">TRUNC(H105*F105,2)</f>
        <v>2606.6799999999998</v>
      </c>
      <c r="J105" s="124">
        <f t="shared" si="56"/>
        <v>1.9208714278016804E-3</v>
      </c>
      <c r="L105">
        <f>643.46/0.963</f>
        <v>668.1827622014539</v>
      </c>
    </row>
    <row r="106" spans="1:12" ht="52.8">
      <c r="A106" s="5" t="s">
        <v>180</v>
      </c>
      <c r="B106" s="6" t="s">
        <v>288</v>
      </c>
      <c r="C106" s="208" t="s">
        <v>353</v>
      </c>
      <c r="D106" s="141" t="s">
        <v>292</v>
      </c>
      <c r="E106" s="1" t="s">
        <v>102</v>
      </c>
      <c r="F106" s="7">
        <f>'Memória de Cálculo'!I194</f>
        <v>1</v>
      </c>
      <c r="G106" s="70">
        <f>'Composições Unitárias'!$H$61</f>
        <v>4297.8</v>
      </c>
      <c r="H106" s="57">
        <f t="shared" si="57"/>
        <v>5309.3</v>
      </c>
      <c r="I106" s="58">
        <f t="shared" ref="I106" si="59">TRUNC(H106*F106,2)</f>
        <v>5309.3</v>
      </c>
      <c r="J106" s="160">
        <f t="shared" si="56"/>
        <v>3.9124413704894586E-3</v>
      </c>
      <c r="L106">
        <f>L105/0.5</f>
        <v>1336.3655244029078</v>
      </c>
    </row>
    <row r="107" spans="1:12" ht="52.8">
      <c r="A107" s="5" t="s">
        <v>181</v>
      </c>
      <c r="B107" s="6" t="s">
        <v>289</v>
      </c>
      <c r="C107" s="208" t="s">
        <v>354</v>
      </c>
      <c r="D107" s="141" t="s">
        <v>291</v>
      </c>
      <c r="E107" s="1" t="s">
        <v>102</v>
      </c>
      <c r="F107" s="7">
        <f>'Memória de Cálculo'!I195</f>
        <v>1</v>
      </c>
      <c r="G107" s="70">
        <f>'Composições Unitárias'!$H$73</f>
        <v>2611.7399999999998</v>
      </c>
      <c r="H107" s="57">
        <f t="shared" ref="H107" si="60">TRUNC(G107+G107*$E$10,2)</f>
        <v>3226.42</v>
      </c>
      <c r="I107" s="58">
        <f t="shared" ref="I107" si="61">TRUNC(H107*F107,2)</f>
        <v>3226.42</v>
      </c>
      <c r="J107" s="160">
        <f t="shared" si="56"/>
        <v>2.3775599582948033E-3</v>
      </c>
    </row>
    <row r="108" spans="1:12" ht="14.4">
      <c r="A108" s="226" t="s">
        <v>72</v>
      </c>
      <c r="B108" s="226"/>
      <c r="C108" s="226"/>
      <c r="D108" s="226"/>
      <c r="E108" s="226"/>
      <c r="F108" s="226"/>
      <c r="G108" s="226"/>
      <c r="H108" s="226"/>
      <c r="I108" s="59">
        <f>TRUNC(SUM(I104:I107),2)</f>
        <v>46476.54</v>
      </c>
      <c r="J108" s="125">
        <f t="shared" si="56"/>
        <v>3.4248721649409175E-2</v>
      </c>
    </row>
    <row r="109" spans="1:12">
      <c r="A109" s="225"/>
      <c r="B109" s="225"/>
      <c r="C109" s="225"/>
      <c r="D109" s="225"/>
      <c r="E109" s="225"/>
      <c r="F109" s="225"/>
      <c r="G109" s="225"/>
      <c r="H109" s="225"/>
      <c r="I109" s="225"/>
      <c r="J109" s="28"/>
    </row>
    <row r="110" spans="1:12" ht="12.75" customHeight="1">
      <c r="A110" s="227" t="s">
        <v>242</v>
      </c>
      <c r="B110" s="228"/>
      <c r="C110" s="228"/>
      <c r="D110" s="228"/>
      <c r="E110" s="228"/>
      <c r="F110" s="228"/>
      <c r="G110" s="228"/>
      <c r="H110" s="228"/>
      <c r="I110" s="228">
        <f>TRUNC((SUM(I121)),2)</f>
        <v>13661.06</v>
      </c>
      <c r="J110" s="229">
        <f t="shared" ref="J110:J116" si="62">I110/$I$127</f>
        <v>1.0066881944651596E-2</v>
      </c>
    </row>
    <row r="111" spans="1:12" ht="26.4">
      <c r="A111" s="5" t="s">
        <v>182</v>
      </c>
      <c r="B111" s="6" t="s">
        <v>290</v>
      </c>
      <c r="C111" s="208" t="s">
        <v>355</v>
      </c>
      <c r="D111" s="2" t="s">
        <v>360</v>
      </c>
      <c r="E111" s="1" t="s">
        <v>103</v>
      </c>
      <c r="F111" s="7">
        <f>'Memória de Cálculo'!I198</f>
        <v>24</v>
      </c>
      <c r="G111" s="70">
        <f>'Composições Unitárias'!$H$86</f>
        <v>227.46</v>
      </c>
      <c r="H111" s="57">
        <f t="shared" ref="H111:H119" si="63">TRUNC(G111+G111*$E$10,2)</f>
        <v>280.99</v>
      </c>
      <c r="I111" s="58">
        <f>TRUNC(H111*F111,2)</f>
        <v>6743.76</v>
      </c>
      <c r="J111" s="160">
        <f t="shared" si="62"/>
        <v>4.969499861874822E-3</v>
      </c>
    </row>
    <row r="112" spans="1:12" ht="26.4">
      <c r="A112" s="5" t="s">
        <v>243</v>
      </c>
      <c r="B112" s="6">
        <v>101946</v>
      </c>
      <c r="C112" s="1" t="s">
        <v>13</v>
      </c>
      <c r="D112" s="141" t="s">
        <v>112</v>
      </c>
      <c r="E112" s="1" t="s">
        <v>103</v>
      </c>
      <c r="F112" s="7">
        <f>'Memória de Cálculo'!I199</f>
        <v>1</v>
      </c>
      <c r="G112" s="70">
        <v>191.74</v>
      </c>
      <c r="H112" s="57">
        <f t="shared" si="63"/>
        <v>236.86</v>
      </c>
      <c r="I112" s="58">
        <f>TRUNC(H112*F112,2)</f>
        <v>236.86</v>
      </c>
      <c r="J112" s="124">
        <f t="shared" si="62"/>
        <v>1.7454294596540659E-4</v>
      </c>
    </row>
    <row r="113" spans="1:10" ht="52.8">
      <c r="A113" s="5" t="s">
        <v>244</v>
      </c>
      <c r="B113" s="6">
        <v>101875</v>
      </c>
      <c r="C113" s="1" t="s">
        <v>13</v>
      </c>
      <c r="D113" s="141" t="s">
        <v>185</v>
      </c>
      <c r="E113" s="1" t="s">
        <v>103</v>
      </c>
      <c r="F113" s="7">
        <f>'Memória de Cálculo'!I200</f>
        <v>1</v>
      </c>
      <c r="G113" s="70">
        <v>358.15</v>
      </c>
      <c r="H113" s="57">
        <f t="shared" si="63"/>
        <v>442.44</v>
      </c>
      <c r="I113" s="58">
        <f t="shared" ref="I113:I116" si="64">TRUNC(H113*F113,2)</f>
        <v>442.44</v>
      </c>
      <c r="J113" s="124">
        <f t="shared" si="62"/>
        <v>3.2603555270174149E-4</v>
      </c>
    </row>
    <row r="114" spans="1:10" ht="26.4">
      <c r="A114" s="5" t="s">
        <v>245</v>
      </c>
      <c r="B114" s="6">
        <v>93653</v>
      </c>
      <c r="C114" s="1" t="s">
        <v>13</v>
      </c>
      <c r="D114" s="141" t="s">
        <v>272</v>
      </c>
      <c r="E114" s="1" t="s">
        <v>103</v>
      </c>
      <c r="F114" s="7">
        <f>'Memória de Cálculo'!I201</f>
        <v>6</v>
      </c>
      <c r="G114" s="70">
        <v>13.39</v>
      </c>
      <c r="H114" s="57">
        <f t="shared" si="63"/>
        <v>16.54</v>
      </c>
      <c r="I114" s="58">
        <f t="shared" si="64"/>
        <v>99.24</v>
      </c>
      <c r="J114" s="124">
        <f t="shared" si="62"/>
        <v>7.3130296198627663E-5</v>
      </c>
    </row>
    <row r="115" spans="1:10" ht="39.6">
      <c r="A115" s="5" t="s">
        <v>246</v>
      </c>
      <c r="B115" s="6">
        <v>91864</v>
      </c>
      <c r="C115" s="1" t="s">
        <v>13</v>
      </c>
      <c r="D115" s="141" t="s">
        <v>274</v>
      </c>
      <c r="E115" s="1" t="s">
        <v>1</v>
      </c>
      <c r="F115" s="7">
        <f>'Memória de Cálculo'!I202</f>
        <v>135.4</v>
      </c>
      <c r="G115" s="70">
        <v>15.38</v>
      </c>
      <c r="H115" s="57">
        <f t="shared" si="63"/>
        <v>18.989999999999998</v>
      </c>
      <c r="I115" s="58">
        <f t="shared" ref="I115" si="65">TRUNC(H115*F115,2)</f>
        <v>2571.2399999999998</v>
      </c>
      <c r="J115" s="124">
        <f t="shared" si="62"/>
        <v>1.8947555703119647E-3</v>
      </c>
    </row>
    <row r="116" spans="1:10" ht="39.6">
      <c r="A116" s="5" t="s">
        <v>247</v>
      </c>
      <c r="B116" s="6">
        <v>91865</v>
      </c>
      <c r="C116" s="1" t="s">
        <v>13</v>
      </c>
      <c r="D116" s="141" t="s">
        <v>275</v>
      </c>
      <c r="E116" s="1" t="s">
        <v>1</v>
      </c>
      <c r="F116" s="7">
        <f>'Memória de Cálculo'!I203</f>
        <v>40.74</v>
      </c>
      <c r="G116" s="70">
        <v>19.32</v>
      </c>
      <c r="H116" s="57">
        <f t="shared" ref="H116" si="66">TRUNC(G116+G116*$E$10,2)</f>
        <v>23.86</v>
      </c>
      <c r="I116" s="58">
        <f t="shared" si="64"/>
        <v>972.05</v>
      </c>
      <c r="J116" s="124">
        <f t="shared" si="62"/>
        <v>7.1630697722567538E-4</v>
      </c>
    </row>
    <row r="117" spans="1:10" ht="39.6">
      <c r="A117" s="5" t="s">
        <v>248</v>
      </c>
      <c r="B117" s="6">
        <v>93008</v>
      </c>
      <c r="C117" s="1" t="s">
        <v>13</v>
      </c>
      <c r="D117" s="141" t="s">
        <v>276</v>
      </c>
      <c r="E117" s="1" t="s">
        <v>1</v>
      </c>
      <c r="F117" s="7">
        <f>'Memória de Cálculo'!I204</f>
        <v>15.72</v>
      </c>
      <c r="G117" s="70">
        <v>19.010000000000002</v>
      </c>
      <c r="H117" s="57">
        <f t="shared" si="63"/>
        <v>23.48</v>
      </c>
      <c r="I117" s="58">
        <f t="shared" ref="I117:I118" si="67">TRUNC(H117*F117,2)</f>
        <v>369.1</v>
      </c>
      <c r="J117" s="124">
        <f t="shared" ref="J117" si="68">I117/$I$127</f>
        <v>2.7199105528933368E-4</v>
      </c>
    </row>
    <row r="118" spans="1:10" ht="39.6">
      <c r="A118" s="5" t="s">
        <v>249</v>
      </c>
      <c r="B118" s="6">
        <v>91924</v>
      </c>
      <c r="C118" s="1" t="s">
        <v>13</v>
      </c>
      <c r="D118" s="141" t="s">
        <v>207</v>
      </c>
      <c r="E118" s="1" t="s">
        <v>1</v>
      </c>
      <c r="F118" s="7">
        <f>'Memória de Cálculo'!I205</f>
        <v>465.8</v>
      </c>
      <c r="G118" s="70">
        <v>2.75</v>
      </c>
      <c r="H118" s="57">
        <f t="shared" ref="H118" si="69">TRUNC(G118+G118*$E$10,2)</f>
        <v>3.39</v>
      </c>
      <c r="I118" s="58">
        <f t="shared" si="67"/>
        <v>1579.06</v>
      </c>
      <c r="J118" s="124">
        <f>I118/$I$127</f>
        <v>1.1636147270798569E-3</v>
      </c>
    </row>
    <row r="119" spans="1:10" ht="39.6">
      <c r="A119" s="5" t="s">
        <v>250</v>
      </c>
      <c r="B119" s="6">
        <v>91928</v>
      </c>
      <c r="C119" s="1" t="s">
        <v>13</v>
      </c>
      <c r="D119" s="141" t="s">
        <v>186</v>
      </c>
      <c r="E119" s="1" t="s">
        <v>1</v>
      </c>
      <c r="F119" s="7">
        <f>'Memória de Cálculo'!I206</f>
        <v>62.88</v>
      </c>
      <c r="G119" s="70">
        <v>6.05</v>
      </c>
      <c r="H119" s="57">
        <f t="shared" si="63"/>
        <v>7.47</v>
      </c>
      <c r="I119" s="58">
        <f t="shared" ref="I119" si="70">TRUNC(H119*F119,2)</f>
        <v>469.71</v>
      </c>
      <c r="J119" s="124">
        <f>I119/$I$127</f>
        <v>3.4613090918437524E-4</v>
      </c>
    </row>
    <row r="120" spans="1:10" ht="39.6">
      <c r="A120" s="5" t="s">
        <v>251</v>
      </c>
      <c r="B120" s="6">
        <v>92979</v>
      </c>
      <c r="C120" s="1" t="s">
        <v>13</v>
      </c>
      <c r="D120" s="141" t="s">
        <v>273</v>
      </c>
      <c r="E120" s="1" t="s">
        <v>1</v>
      </c>
      <c r="F120" s="7">
        <f>'Memória de Cálculo'!I207</f>
        <v>14.8</v>
      </c>
      <c r="G120" s="70">
        <v>9.7200000000000006</v>
      </c>
      <c r="H120" s="57">
        <f t="shared" ref="H120" si="71">TRUNC(G120+G120*$E$10,2)</f>
        <v>12</v>
      </c>
      <c r="I120" s="58">
        <f t="shared" ref="I120" si="72">TRUNC(H120*F120,2)</f>
        <v>177.6</v>
      </c>
      <c r="J120" s="124">
        <f>I120/$I$127</f>
        <v>1.3087404881979316E-4</v>
      </c>
    </row>
    <row r="121" spans="1:10" ht="14.4">
      <c r="A121" s="226" t="s">
        <v>72</v>
      </c>
      <c r="B121" s="226"/>
      <c r="C121" s="226"/>
      <c r="D121" s="226"/>
      <c r="E121" s="226"/>
      <c r="F121" s="226"/>
      <c r="G121" s="226"/>
      <c r="H121" s="226"/>
      <c r="I121" s="59">
        <f>TRUNC(SUM(I111:I120),2)</f>
        <v>13661.06</v>
      </c>
      <c r="J121" s="125">
        <f>I121/$I$127</f>
        <v>1.0066881944651596E-2</v>
      </c>
    </row>
    <row r="122" spans="1:10">
      <c r="A122" s="225"/>
      <c r="B122" s="225"/>
      <c r="C122" s="225"/>
      <c r="D122" s="225"/>
      <c r="E122" s="225"/>
      <c r="F122" s="225"/>
      <c r="G122" s="225"/>
      <c r="H122" s="225"/>
      <c r="I122" s="225"/>
      <c r="J122" s="28"/>
    </row>
    <row r="123" spans="1:10" ht="12.75" customHeight="1">
      <c r="A123" s="227" t="s">
        <v>252</v>
      </c>
      <c r="B123" s="228"/>
      <c r="C123" s="228"/>
      <c r="D123" s="228"/>
      <c r="E123" s="228"/>
      <c r="F123" s="228"/>
      <c r="G123" s="228"/>
      <c r="H123" s="228"/>
      <c r="I123" s="228">
        <f>TRUNC((SUM(I125)),2)</f>
        <v>2578.86</v>
      </c>
      <c r="J123" s="229">
        <f>I123/$I$127</f>
        <v>1.9003707744336251E-3</v>
      </c>
    </row>
    <row r="124" spans="1:10" ht="26.4">
      <c r="A124" s="5" t="s">
        <v>253</v>
      </c>
      <c r="B124" s="6">
        <v>99814</v>
      </c>
      <c r="C124" s="1" t="s">
        <v>13</v>
      </c>
      <c r="D124" s="141" t="s">
        <v>187</v>
      </c>
      <c r="E124" s="1" t="s">
        <v>2</v>
      </c>
      <c r="F124" s="7">
        <f>'Memória de Cálculo'!$I$210</f>
        <v>1097.3900000000001</v>
      </c>
      <c r="G124" s="70">
        <v>1.91</v>
      </c>
      <c r="H124" s="57">
        <f t="shared" ref="H124" si="73">TRUNC(G124+G124*$E$10,2)</f>
        <v>2.35</v>
      </c>
      <c r="I124" s="58">
        <f>TRUNC(H124*F124,2)</f>
        <v>2578.86</v>
      </c>
      <c r="J124" s="124">
        <f>I124/$I$127</f>
        <v>1.9003707744336251E-3</v>
      </c>
    </row>
    <row r="125" spans="1:10" ht="14.4">
      <c r="A125" s="226" t="s">
        <v>72</v>
      </c>
      <c r="B125" s="226"/>
      <c r="C125" s="226"/>
      <c r="D125" s="226"/>
      <c r="E125" s="226"/>
      <c r="F125" s="226"/>
      <c r="G125" s="226"/>
      <c r="H125" s="226"/>
      <c r="I125" s="59">
        <f>TRUNC(SUM(I124:I124),2)</f>
        <v>2578.86</v>
      </c>
      <c r="J125" s="125">
        <f>I125/$I$127</f>
        <v>1.9003707744336251E-3</v>
      </c>
    </row>
    <row r="126" spans="1:10">
      <c r="A126" s="225"/>
      <c r="B126" s="225"/>
      <c r="C126" s="225"/>
      <c r="D126" s="225"/>
      <c r="E126" s="225"/>
      <c r="F126" s="225"/>
      <c r="G126" s="225"/>
      <c r="H126" s="225"/>
      <c r="I126" s="225"/>
      <c r="J126" s="28"/>
    </row>
    <row r="127" spans="1:10" ht="14.4" thickBot="1">
      <c r="A127" s="243" t="s">
        <v>73</v>
      </c>
      <c r="B127" s="243"/>
      <c r="C127" s="243"/>
      <c r="D127" s="243"/>
      <c r="E127" s="243"/>
      <c r="F127" s="243"/>
      <c r="G127" s="243"/>
      <c r="H127" s="243"/>
      <c r="I127" s="214">
        <f>TRUNC(SUM(I125,I121,I108,I101,I75,I66,I61,I55,I26,I18,I94),2)</f>
        <v>1357029.92</v>
      </c>
      <c r="J127" s="215">
        <f>TRUNC(SUM(J125,J121,J108,J101,J75,J66,J61,J55,J26,J18,J94),2)</f>
        <v>1</v>
      </c>
    </row>
    <row r="128" spans="1:10">
      <c r="A128" s="216" t="s">
        <v>347</v>
      </c>
      <c r="B128" s="217"/>
      <c r="C128" s="217"/>
      <c r="D128" s="217"/>
      <c r="E128" s="217"/>
      <c r="F128" s="217"/>
      <c r="G128" s="217"/>
      <c r="H128" s="217"/>
      <c r="I128" s="217"/>
      <c r="J128" s="218"/>
    </row>
    <row r="129" spans="1:10">
      <c r="A129" s="219"/>
      <c r="B129" s="220"/>
      <c r="C129" s="220"/>
      <c r="D129" s="220"/>
      <c r="E129" s="220"/>
      <c r="F129" s="220"/>
      <c r="G129" s="220"/>
      <c r="H129" s="220"/>
      <c r="I129" s="220"/>
      <c r="J129" s="221"/>
    </row>
    <row r="130" spans="1:10">
      <c r="A130" s="219"/>
      <c r="B130" s="220"/>
      <c r="C130" s="220"/>
      <c r="D130" s="220"/>
      <c r="E130" s="220"/>
      <c r="F130" s="220"/>
      <c r="G130" s="220"/>
      <c r="H130" s="220"/>
      <c r="I130" s="220"/>
      <c r="J130" s="221"/>
    </row>
    <row r="131" spans="1:10">
      <c r="A131" s="219"/>
      <c r="B131" s="220"/>
      <c r="C131" s="220"/>
      <c r="D131" s="220"/>
      <c r="E131" s="220"/>
      <c r="F131" s="220"/>
      <c r="G131" s="220"/>
      <c r="H131" s="220"/>
      <c r="I131" s="220"/>
      <c r="J131" s="221"/>
    </row>
    <row r="132" spans="1:10">
      <c r="A132" s="219"/>
      <c r="B132" s="220"/>
      <c r="C132" s="220"/>
      <c r="D132" s="220"/>
      <c r="E132" s="220"/>
      <c r="F132" s="220"/>
      <c r="G132" s="220"/>
      <c r="H132" s="220"/>
      <c r="I132" s="220"/>
      <c r="J132" s="221"/>
    </row>
    <row r="133" spans="1:10">
      <c r="A133" s="219"/>
      <c r="B133" s="220"/>
      <c r="C133" s="220"/>
      <c r="D133" s="220"/>
      <c r="E133" s="220"/>
      <c r="F133" s="220"/>
      <c r="G133" s="220"/>
      <c r="H133" s="220"/>
      <c r="I133" s="220"/>
      <c r="J133" s="221"/>
    </row>
    <row r="134" spans="1:10" ht="13.8" thickBot="1">
      <c r="A134" s="222"/>
      <c r="B134" s="223"/>
      <c r="C134" s="223"/>
      <c r="D134" s="223"/>
      <c r="E134" s="223"/>
      <c r="F134" s="223"/>
      <c r="G134" s="223"/>
      <c r="H134" s="223"/>
      <c r="I134" s="223"/>
      <c r="J134" s="224"/>
    </row>
    <row r="135" spans="1:10">
      <c r="A135" s="61"/>
      <c r="B135" s="61"/>
      <c r="C135" s="61"/>
      <c r="D135" s="142"/>
      <c r="E135" s="61"/>
      <c r="F135" s="61"/>
      <c r="G135" s="61"/>
      <c r="H135" s="61"/>
      <c r="I135" s="61"/>
    </row>
    <row r="136" spans="1:10">
      <c r="A136" s="61"/>
      <c r="B136" s="61"/>
      <c r="C136" s="61"/>
      <c r="D136" s="142"/>
      <c r="E136" s="61"/>
      <c r="F136" s="61"/>
      <c r="G136" s="61"/>
      <c r="H136" s="61"/>
      <c r="I136" s="61"/>
    </row>
    <row r="137" spans="1:10">
      <c r="A137" s="61"/>
      <c r="B137" s="61"/>
      <c r="C137" s="61"/>
      <c r="D137" s="142"/>
      <c r="E137" s="61"/>
      <c r="F137" s="61"/>
      <c r="G137" s="61"/>
      <c r="H137" s="61"/>
      <c r="I137" s="61"/>
    </row>
    <row r="138" spans="1:10">
      <c r="A138" s="61"/>
      <c r="B138" s="61"/>
      <c r="C138" s="61"/>
      <c r="D138" s="142"/>
      <c r="E138" s="61"/>
      <c r="F138" s="61"/>
      <c r="G138" s="61"/>
      <c r="H138" s="61"/>
      <c r="I138" s="61"/>
    </row>
    <row r="139" spans="1:10">
      <c r="A139" s="61"/>
      <c r="B139" s="61"/>
      <c r="C139" s="61"/>
      <c r="D139" s="142"/>
      <c r="E139" s="61"/>
      <c r="F139" s="61"/>
      <c r="G139" s="61"/>
      <c r="H139" s="61"/>
      <c r="I139" s="61"/>
    </row>
    <row r="140" spans="1:10">
      <c r="A140" s="61"/>
      <c r="B140" s="61"/>
      <c r="C140" s="61"/>
      <c r="D140" s="142"/>
      <c r="E140" s="61"/>
      <c r="F140" s="61"/>
      <c r="G140" s="61"/>
      <c r="H140" s="61"/>
      <c r="I140" s="61"/>
    </row>
    <row r="141" spans="1:10">
      <c r="A141" s="61"/>
      <c r="B141" s="61"/>
      <c r="C141" s="61"/>
      <c r="D141" s="142"/>
      <c r="E141" s="61"/>
      <c r="F141" s="61"/>
      <c r="G141" s="61"/>
      <c r="H141" s="61"/>
      <c r="I141" s="61"/>
    </row>
    <row r="142" spans="1:10">
      <c r="A142" s="61"/>
      <c r="B142" s="61"/>
      <c r="C142" s="61"/>
      <c r="D142" s="142"/>
      <c r="E142" s="61"/>
      <c r="F142" s="61"/>
      <c r="G142" s="61"/>
      <c r="H142" s="61"/>
      <c r="I142" s="61"/>
    </row>
    <row r="143" spans="1:10">
      <c r="A143" s="61"/>
      <c r="B143" s="61"/>
      <c r="C143" s="61"/>
      <c r="D143" s="142"/>
      <c r="E143" s="61"/>
      <c r="F143" s="61"/>
      <c r="G143" s="61"/>
      <c r="H143" s="61"/>
      <c r="I143" s="61"/>
    </row>
    <row r="144" spans="1:10">
      <c r="A144" s="61"/>
      <c r="B144" s="61"/>
      <c r="C144" s="61"/>
      <c r="D144" s="142"/>
      <c r="E144" s="61"/>
      <c r="F144" s="61"/>
      <c r="G144" s="61"/>
      <c r="H144" s="61"/>
      <c r="I144" s="61"/>
    </row>
    <row r="145" spans="1:9">
      <c r="A145" s="61"/>
      <c r="B145" s="61"/>
      <c r="C145" s="61"/>
      <c r="D145" s="142"/>
      <c r="E145" s="61"/>
      <c r="F145" s="61"/>
      <c r="G145" s="61"/>
      <c r="H145" s="61"/>
      <c r="I145" s="61"/>
    </row>
    <row r="146" spans="1:9">
      <c r="A146" s="61"/>
      <c r="B146" s="61"/>
      <c r="C146" s="61"/>
      <c r="D146" s="142"/>
      <c r="E146" s="61"/>
      <c r="F146" s="61"/>
      <c r="G146" s="61"/>
      <c r="H146" s="61"/>
      <c r="I146" s="61"/>
    </row>
    <row r="147" spans="1:9">
      <c r="A147" s="61"/>
      <c r="B147" s="61"/>
      <c r="C147" s="61"/>
      <c r="D147" s="142"/>
      <c r="E147" s="61"/>
      <c r="F147" s="61"/>
      <c r="G147" s="61"/>
      <c r="H147" s="61"/>
      <c r="I147" s="61"/>
    </row>
    <row r="148" spans="1:9">
      <c r="A148" s="61"/>
      <c r="B148" s="61"/>
      <c r="C148" s="61"/>
      <c r="D148" s="142"/>
      <c r="E148" s="61"/>
      <c r="F148" s="61"/>
      <c r="G148" s="61"/>
      <c r="H148" s="61"/>
      <c r="I148" s="61"/>
    </row>
    <row r="149" spans="1:9">
      <c r="A149" s="61"/>
      <c r="B149" s="61"/>
      <c r="C149" s="61"/>
      <c r="D149" s="142"/>
      <c r="E149" s="61"/>
      <c r="F149" s="61"/>
      <c r="G149" s="61"/>
      <c r="H149" s="61"/>
      <c r="I149" s="61"/>
    </row>
    <row r="150" spans="1:9">
      <c r="A150" s="61"/>
      <c r="B150" s="61"/>
      <c r="C150" s="61"/>
      <c r="D150" s="142"/>
      <c r="E150" s="61"/>
      <c r="F150" s="61"/>
      <c r="G150" s="61"/>
      <c r="H150" s="61"/>
      <c r="I150" s="61"/>
    </row>
    <row r="151" spans="1:9">
      <c r="A151" s="61"/>
      <c r="B151" s="61"/>
      <c r="C151" s="61"/>
      <c r="D151" s="142"/>
      <c r="E151" s="61"/>
      <c r="F151" s="61"/>
      <c r="G151" s="61"/>
      <c r="H151" s="61"/>
      <c r="I151" s="61"/>
    </row>
    <row r="152" spans="1:9">
      <c r="A152" s="61"/>
      <c r="B152" s="61"/>
      <c r="C152" s="61"/>
      <c r="D152" s="142"/>
      <c r="E152" s="61"/>
      <c r="F152" s="61"/>
      <c r="G152" s="61"/>
      <c r="H152" s="61"/>
      <c r="I152" s="61"/>
    </row>
    <row r="153" spans="1:9">
      <c r="A153" s="61"/>
      <c r="B153" s="61"/>
      <c r="C153" s="61"/>
      <c r="D153" s="142"/>
      <c r="E153" s="61"/>
      <c r="F153" s="61"/>
      <c r="G153" s="61"/>
      <c r="H153" s="61"/>
      <c r="I153" s="61"/>
    </row>
    <row r="154" spans="1:9">
      <c r="A154" s="61"/>
      <c r="B154" s="61"/>
      <c r="C154" s="61"/>
      <c r="D154" s="142"/>
      <c r="E154" s="61"/>
      <c r="F154" s="61"/>
      <c r="G154" s="61"/>
      <c r="H154" s="61"/>
      <c r="I154" s="61"/>
    </row>
    <row r="155" spans="1:9">
      <c r="A155" s="61"/>
      <c r="B155" s="61"/>
      <c r="C155" s="61"/>
      <c r="D155" s="142"/>
      <c r="E155" s="61"/>
      <c r="F155" s="61"/>
      <c r="G155" s="61"/>
      <c r="H155" s="61"/>
      <c r="I155" s="61"/>
    </row>
    <row r="156" spans="1:9">
      <c r="A156" s="61"/>
      <c r="B156" s="61"/>
      <c r="C156" s="61"/>
      <c r="D156" s="142"/>
      <c r="E156" s="61"/>
      <c r="F156" s="61"/>
      <c r="G156" s="61"/>
      <c r="H156" s="61"/>
      <c r="I156" s="61"/>
    </row>
    <row r="157" spans="1:9">
      <c r="A157" s="61"/>
      <c r="B157" s="61"/>
      <c r="C157" s="61"/>
      <c r="D157" s="142"/>
      <c r="E157" s="61"/>
      <c r="F157" s="61"/>
      <c r="G157" s="61"/>
      <c r="H157" s="61"/>
      <c r="I157" s="61"/>
    </row>
    <row r="158" spans="1:9">
      <c r="A158" s="61"/>
      <c r="B158" s="61"/>
      <c r="C158" s="61"/>
      <c r="D158" s="142"/>
      <c r="E158" s="61"/>
      <c r="F158" s="61"/>
      <c r="G158" s="61"/>
      <c r="H158" s="61"/>
      <c r="I158" s="61"/>
    </row>
    <row r="159" spans="1:9">
      <c r="A159" s="61"/>
      <c r="B159" s="61"/>
      <c r="C159" s="61"/>
      <c r="D159" s="142"/>
      <c r="E159" s="61"/>
      <c r="F159" s="61"/>
      <c r="G159" s="61"/>
      <c r="H159" s="61"/>
      <c r="I159" s="61"/>
    </row>
    <row r="160" spans="1:9">
      <c r="A160" s="61"/>
      <c r="B160" s="61"/>
      <c r="C160" s="61"/>
      <c r="D160" s="142"/>
      <c r="E160" s="61"/>
      <c r="F160" s="61"/>
      <c r="G160" s="61"/>
      <c r="H160" s="61"/>
      <c r="I160" s="61"/>
    </row>
    <row r="161" spans="1:9">
      <c r="A161" s="61"/>
      <c r="B161" s="61"/>
      <c r="C161" s="61"/>
      <c r="D161" s="142"/>
      <c r="E161" s="61"/>
      <c r="F161" s="61"/>
      <c r="G161" s="61"/>
      <c r="H161" s="61"/>
      <c r="I161" s="61"/>
    </row>
    <row r="162" spans="1:9">
      <c r="A162" s="61"/>
      <c r="B162" s="61"/>
      <c r="C162" s="61"/>
      <c r="D162" s="142"/>
      <c r="E162" s="61"/>
      <c r="F162" s="61"/>
      <c r="G162" s="61"/>
      <c r="H162" s="61"/>
      <c r="I162" s="61"/>
    </row>
    <row r="163" spans="1:9">
      <c r="A163" s="61"/>
      <c r="B163" s="61"/>
      <c r="C163" s="61"/>
      <c r="D163" s="142"/>
      <c r="E163" s="61"/>
      <c r="F163" s="61"/>
      <c r="G163" s="61"/>
      <c r="H163" s="61"/>
      <c r="I163" s="61"/>
    </row>
    <row r="164" spans="1:9">
      <c r="A164" s="61"/>
      <c r="B164" s="61"/>
      <c r="C164" s="61"/>
      <c r="D164" s="142"/>
      <c r="E164" s="61"/>
      <c r="F164" s="61"/>
      <c r="G164" s="61"/>
      <c r="H164" s="61"/>
      <c r="I164" s="61"/>
    </row>
    <row r="165" spans="1:9">
      <c r="A165" s="61"/>
      <c r="B165" s="61"/>
      <c r="C165" s="61"/>
      <c r="D165" s="142"/>
      <c r="E165" s="61"/>
      <c r="F165" s="61"/>
      <c r="G165" s="61"/>
      <c r="H165" s="61"/>
      <c r="I165" s="61"/>
    </row>
    <row r="166" spans="1:9">
      <c r="A166" s="61"/>
      <c r="B166" s="61"/>
      <c r="C166" s="61"/>
      <c r="D166" s="142"/>
      <c r="E166" s="61"/>
      <c r="F166" s="61"/>
      <c r="G166" s="61"/>
      <c r="H166" s="61"/>
      <c r="I166" s="61"/>
    </row>
    <row r="167" spans="1:9">
      <c r="A167" s="61"/>
      <c r="B167" s="61"/>
      <c r="C167" s="61"/>
      <c r="D167" s="142"/>
      <c r="E167" s="61"/>
      <c r="F167" s="61"/>
      <c r="G167" s="61"/>
      <c r="H167" s="61"/>
      <c r="I167" s="61"/>
    </row>
    <row r="168" spans="1:9">
      <c r="A168" s="61"/>
      <c r="B168" s="61"/>
      <c r="C168" s="61"/>
      <c r="D168" s="142"/>
      <c r="E168" s="61"/>
      <c r="F168" s="61"/>
      <c r="G168" s="61"/>
      <c r="H168" s="61"/>
      <c r="I168" s="61"/>
    </row>
    <row r="169" spans="1:9">
      <c r="A169" s="61"/>
      <c r="B169" s="61"/>
      <c r="C169" s="61"/>
      <c r="D169" s="142"/>
      <c r="E169" s="61"/>
      <c r="F169" s="61"/>
      <c r="G169" s="61"/>
      <c r="H169" s="61"/>
      <c r="I169" s="61"/>
    </row>
    <row r="170" spans="1:9">
      <c r="A170" s="61"/>
      <c r="B170" s="61"/>
      <c r="C170" s="61"/>
      <c r="D170" s="142"/>
      <c r="E170" s="61"/>
      <c r="F170" s="61"/>
      <c r="G170" s="61"/>
      <c r="H170" s="61"/>
      <c r="I170" s="61"/>
    </row>
    <row r="171" spans="1:9">
      <c r="A171" s="61"/>
      <c r="B171" s="61"/>
      <c r="C171" s="61"/>
      <c r="D171" s="142"/>
      <c r="E171" s="61"/>
      <c r="F171" s="61"/>
      <c r="G171" s="61"/>
      <c r="H171" s="61"/>
      <c r="I171" s="61"/>
    </row>
    <row r="172" spans="1:9">
      <c r="A172" s="61"/>
      <c r="B172" s="61"/>
      <c r="C172" s="61"/>
      <c r="D172" s="142"/>
      <c r="E172" s="61"/>
      <c r="F172" s="61"/>
      <c r="G172" s="61"/>
      <c r="H172" s="61"/>
      <c r="I172" s="61"/>
    </row>
    <row r="173" spans="1:9">
      <c r="A173" s="61"/>
      <c r="B173" s="61"/>
      <c r="C173" s="61"/>
      <c r="D173" s="142"/>
      <c r="E173" s="61"/>
      <c r="F173" s="61"/>
      <c r="G173" s="61"/>
      <c r="H173" s="61"/>
      <c r="I173" s="61"/>
    </row>
    <row r="174" spans="1:9">
      <c r="A174" s="61"/>
      <c r="B174" s="61"/>
      <c r="C174" s="61"/>
      <c r="D174" s="142"/>
      <c r="E174" s="61"/>
      <c r="F174" s="61"/>
      <c r="G174" s="61"/>
      <c r="H174" s="61"/>
      <c r="I174" s="61"/>
    </row>
    <row r="175" spans="1:9">
      <c r="A175" s="61"/>
      <c r="B175" s="61"/>
      <c r="C175" s="61"/>
      <c r="D175" s="142"/>
      <c r="E175" s="61"/>
      <c r="F175" s="61"/>
      <c r="G175" s="61"/>
      <c r="H175" s="61"/>
      <c r="I175" s="61"/>
    </row>
    <row r="176" spans="1:9">
      <c r="A176" s="61"/>
      <c r="B176" s="61"/>
      <c r="C176" s="61"/>
      <c r="D176" s="142"/>
      <c r="E176" s="61"/>
      <c r="F176" s="61"/>
      <c r="G176" s="61"/>
      <c r="H176" s="61"/>
      <c r="I176" s="61"/>
    </row>
    <row r="177" spans="1:9">
      <c r="A177" s="61"/>
      <c r="B177" s="61"/>
      <c r="C177" s="61"/>
      <c r="D177" s="142"/>
      <c r="E177" s="61"/>
      <c r="F177" s="61"/>
      <c r="G177" s="61"/>
      <c r="H177" s="61"/>
      <c r="I177" s="61"/>
    </row>
    <row r="178" spans="1:9">
      <c r="A178" s="61"/>
      <c r="B178" s="61"/>
      <c r="C178" s="61"/>
      <c r="D178" s="142"/>
      <c r="E178" s="61"/>
      <c r="F178" s="61"/>
      <c r="G178" s="61"/>
      <c r="H178" s="61"/>
      <c r="I178" s="61"/>
    </row>
    <row r="179" spans="1:9">
      <c r="A179" s="61"/>
      <c r="B179" s="61"/>
      <c r="C179" s="61"/>
      <c r="D179" s="142"/>
      <c r="E179" s="61"/>
      <c r="F179" s="61"/>
      <c r="G179" s="61"/>
      <c r="H179" s="61"/>
      <c r="I179" s="61"/>
    </row>
    <row r="180" spans="1:9">
      <c r="A180" s="61"/>
      <c r="B180" s="61"/>
      <c r="C180" s="61"/>
      <c r="D180" s="142"/>
      <c r="E180" s="61"/>
      <c r="F180" s="61"/>
      <c r="G180" s="61"/>
      <c r="H180" s="61"/>
      <c r="I180" s="61"/>
    </row>
    <row r="181" spans="1:9">
      <c r="A181" s="61"/>
      <c r="B181" s="61"/>
      <c r="C181" s="61"/>
      <c r="D181" s="142"/>
      <c r="E181" s="61"/>
      <c r="F181" s="61"/>
      <c r="G181" s="61"/>
      <c r="H181" s="61"/>
      <c r="I181" s="61"/>
    </row>
    <row r="182" spans="1:9">
      <c r="A182" s="61"/>
      <c r="B182" s="61"/>
      <c r="C182" s="61"/>
      <c r="D182" s="142"/>
      <c r="E182" s="61"/>
      <c r="F182" s="61"/>
      <c r="G182" s="61"/>
      <c r="H182" s="61"/>
      <c r="I182" s="61"/>
    </row>
    <row r="183" spans="1:9">
      <c r="A183" s="61"/>
      <c r="B183" s="61"/>
      <c r="C183" s="61"/>
      <c r="D183" s="142"/>
      <c r="E183" s="61"/>
      <c r="F183" s="61"/>
      <c r="G183" s="61"/>
      <c r="H183" s="61"/>
      <c r="I183" s="61"/>
    </row>
    <row r="184" spans="1:9">
      <c r="A184" s="61"/>
      <c r="B184" s="61"/>
      <c r="C184" s="61"/>
      <c r="D184" s="142"/>
      <c r="E184" s="61"/>
      <c r="F184" s="61"/>
      <c r="G184" s="61"/>
      <c r="H184" s="61"/>
      <c r="I184" s="61"/>
    </row>
    <row r="185" spans="1:9">
      <c r="A185" s="61"/>
      <c r="B185" s="61"/>
      <c r="C185" s="61"/>
      <c r="D185" s="142"/>
      <c r="E185" s="61"/>
      <c r="F185" s="61"/>
      <c r="G185" s="61"/>
      <c r="H185" s="61"/>
      <c r="I185" s="61"/>
    </row>
    <row r="186" spans="1:9">
      <c r="A186" s="61"/>
      <c r="B186" s="61"/>
      <c r="C186" s="61"/>
      <c r="D186" s="142"/>
      <c r="E186" s="61"/>
      <c r="F186" s="61"/>
      <c r="G186" s="61"/>
      <c r="H186" s="61"/>
      <c r="I186" s="61"/>
    </row>
    <row r="187" spans="1:9">
      <c r="A187" s="61"/>
      <c r="B187" s="61"/>
      <c r="C187" s="61"/>
      <c r="D187" s="142"/>
      <c r="E187" s="61"/>
      <c r="F187" s="61"/>
      <c r="G187" s="61"/>
      <c r="H187" s="61"/>
      <c r="I187" s="61"/>
    </row>
    <row r="188" spans="1:9">
      <c r="A188" s="61"/>
      <c r="B188" s="61"/>
      <c r="C188" s="61"/>
      <c r="D188" s="142"/>
      <c r="E188" s="61"/>
      <c r="F188" s="61"/>
      <c r="G188" s="61"/>
      <c r="H188" s="61"/>
      <c r="I188" s="61"/>
    </row>
    <row r="189" spans="1:9">
      <c r="A189" s="61"/>
      <c r="B189" s="61"/>
      <c r="C189" s="61"/>
      <c r="D189" s="142"/>
      <c r="E189" s="61"/>
      <c r="F189" s="61"/>
      <c r="G189" s="61"/>
      <c r="H189" s="61"/>
      <c r="I189" s="61"/>
    </row>
    <row r="190" spans="1:9">
      <c r="A190" s="61"/>
      <c r="B190" s="61"/>
      <c r="C190" s="61"/>
      <c r="D190" s="142"/>
      <c r="E190" s="61"/>
      <c r="F190" s="61"/>
      <c r="G190" s="61"/>
      <c r="H190" s="61"/>
      <c r="I190" s="61"/>
    </row>
    <row r="191" spans="1:9">
      <c r="A191" s="61"/>
      <c r="B191" s="61"/>
      <c r="C191" s="61"/>
      <c r="D191" s="142"/>
      <c r="E191" s="61"/>
      <c r="F191" s="61"/>
      <c r="G191" s="61"/>
      <c r="H191" s="61"/>
      <c r="I191" s="61"/>
    </row>
    <row r="192" spans="1:9">
      <c r="A192" s="61"/>
      <c r="B192" s="61"/>
      <c r="C192" s="61"/>
      <c r="D192" s="142"/>
      <c r="E192" s="61"/>
      <c r="F192" s="61"/>
      <c r="G192" s="61"/>
      <c r="H192" s="61"/>
      <c r="I192" s="61"/>
    </row>
    <row r="193" spans="1:9">
      <c r="A193" s="61"/>
      <c r="B193" s="61"/>
      <c r="C193" s="61"/>
      <c r="D193" s="142"/>
      <c r="E193" s="61"/>
      <c r="F193" s="61"/>
      <c r="G193" s="61"/>
      <c r="H193" s="61"/>
      <c r="I193" s="61"/>
    </row>
    <row r="194" spans="1:9">
      <c r="A194" s="61"/>
      <c r="B194" s="61"/>
      <c r="C194" s="61"/>
      <c r="D194" s="142"/>
      <c r="E194" s="61"/>
      <c r="F194" s="61"/>
      <c r="G194" s="61"/>
      <c r="H194" s="61"/>
      <c r="I194" s="61"/>
    </row>
    <row r="195" spans="1:9">
      <c r="A195" s="61"/>
      <c r="B195" s="61"/>
      <c r="C195" s="61"/>
      <c r="D195" s="142"/>
      <c r="E195" s="61"/>
      <c r="F195" s="61"/>
      <c r="G195" s="61"/>
      <c r="H195" s="61"/>
      <c r="I195" s="61"/>
    </row>
  </sheetData>
  <mergeCells count="46">
    <mergeCell ref="A1:J1"/>
    <mergeCell ref="A2:J2"/>
    <mergeCell ref="A3:B3"/>
    <mergeCell ref="D4:G4"/>
    <mergeCell ref="A127:H127"/>
    <mergeCell ref="A11:J12"/>
    <mergeCell ref="A26:H26"/>
    <mergeCell ref="A19:J19"/>
    <mergeCell ref="A108:H108"/>
    <mergeCell ref="A18:H18"/>
    <mergeCell ref="A27:J27"/>
    <mergeCell ref="A57:J57"/>
    <mergeCell ref="A63:J63"/>
    <mergeCell ref="H9:J9"/>
    <mergeCell ref="H10:J10"/>
    <mergeCell ref="A109:I109"/>
    <mergeCell ref="A75:H75"/>
    <mergeCell ref="A76:I76"/>
    <mergeCell ref="A68:J68"/>
    <mergeCell ref="A96:J96"/>
    <mergeCell ref="A77:J77"/>
    <mergeCell ref="A94:H94"/>
    <mergeCell ref="A95:I95"/>
    <mergeCell ref="A20:J20"/>
    <mergeCell ref="A14:J14"/>
    <mergeCell ref="A66:H66"/>
    <mergeCell ref="A67:I67"/>
    <mergeCell ref="A29:H29"/>
    <mergeCell ref="A28:J28"/>
    <mergeCell ref="A39:H39"/>
    <mergeCell ref="A46:H46"/>
    <mergeCell ref="A53:H53"/>
    <mergeCell ref="A55:H55"/>
    <mergeCell ref="A56:I56"/>
    <mergeCell ref="A61:H61"/>
    <mergeCell ref="A62:I62"/>
    <mergeCell ref="A128:J134"/>
    <mergeCell ref="A126:I126"/>
    <mergeCell ref="A101:H101"/>
    <mergeCell ref="A102:I102"/>
    <mergeCell ref="A122:I122"/>
    <mergeCell ref="A103:J103"/>
    <mergeCell ref="A110:J110"/>
    <mergeCell ref="A123:J123"/>
    <mergeCell ref="A125:H125"/>
    <mergeCell ref="A121:H121"/>
  </mergeCells>
  <phoneticPr fontId="59" type="noConversion"/>
  <conditionalFormatting sqref="C3 E3:I3 A3:A4 D3:D4 B6:C6 E6:I6 A6:A7 D6:D7 D8:I8 B8:C9 H9 D9:E10 G9:G10 A9:A11">
    <cfRule type="cellIs" dxfId="25" priority="4" stopIfTrue="1" operator="equal">
      <formula>0</formula>
    </cfRule>
  </conditionalFormatting>
  <conditionalFormatting sqref="F10">
    <cfRule type="cellIs" dxfId="24" priority="1" stopIfTrue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75" fitToHeight="0" orientation="landscape" horizontalDpi="360" verticalDpi="360" r:id="rId1"/>
  <headerFooter>
    <oddFooter>Página &amp;P de &amp;N</oddFooter>
  </headerFooter>
  <rowBreaks count="4" manualBreakCount="4">
    <brk id="27" max="9" man="1"/>
    <brk id="42" max="9" man="1"/>
    <brk id="54" max="9" man="1"/>
    <brk id="67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7"/>
  <sheetViews>
    <sheetView view="pageBreakPreview" zoomScaleNormal="85" zoomScaleSheetLayoutView="100" workbookViewId="0">
      <selection activeCell="C9" sqref="C9:I9"/>
    </sheetView>
  </sheetViews>
  <sheetFormatPr defaultRowHeight="13.2"/>
  <cols>
    <col min="1" max="1" width="8.33203125" bestFit="1" customWidth="1"/>
    <col min="2" max="2" width="58.44140625" customWidth="1"/>
    <col min="3" max="3" width="10.33203125" customWidth="1"/>
    <col min="4" max="4" width="15.88671875" bestFit="1" customWidth="1"/>
    <col min="5" max="5" width="10" customWidth="1"/>
    <col min="6" max="6" width="13.5546875" customWidth="1"/>
    <col min="7" max="7" width="13.6640625" customWidth="1"/>
    <col min="8" max="8" width="13.44140625" customWidth="1"/>
    <col min="9" max="9" width="16.109375" bestFit="1" customWidth="1"/>
    <col min="11" max="11" width="13.44140625" bestFit="1" customWidth="1"/>
    <col min="12" max="12" width="11.33203125" customWidth="1"/>
  </cols>
  <sheetData>
    <row r="1" spans="1:12" ht="24.75" customHeight="1">
      <c r="A1" s="235" t="s">
        <v>55</v>
      </c>
      <c r="B1" s="236"/>
      <c r="C1" s="236"/>
      <c r="D1" s="236"/>
      <c r="E1" s="236"/>
      <c r="F1" s="236"/>
      <c r="G1" s="236"/>
      <c r="H1" s="236"/>
      <c r="I1" s="236"/>
      <c r="J1" s="63"/>
      <c r="K1" s="63"/>
    </row>
    <row r="2" spans="1:12" ht="15" customHeight="1">
      <c r="A2" s="237" t="s">
        <v>302</v>
      </c>
      <c r="B2" s="238"/>
      <c r="C2" s="238"/>
      <c r="D2" s="238"/>
      <c r="E2" s="238"/>
      <c r="F2" s="238"/>
      <c r="G2" s="238"/>
      <c r="H2" s="238"/>
      <c r="I2" s="238"/>
      <c r="J2" s="64"/>
      <c r="K2" s="64"/>
    </row>
    <row r="3" spans="1:12" ht="15" customHeight="1">
      <c r="A3" s="239" t="s">
        <v>56</v>
      </c>
      <c r="B3" s="240"/>
      <c r="C3" s="34" t="s">
        <v>57</v>
      </c>
      <c r="D3" s="33"/>
      <c r="E3" s="33"/>
      <c r="F3" s="33"/>
      <c r="G3" s="35"/>
      <c r="H3" s="35"/>
      <c r="I3" s="32"/>
    </row>
    <row r="4" spans="1:12" ht="27" customHeight="1">
      <c r="A4" s="36"/>
      <c r="B4" s="37"/>
      <c r="C4" s="241" t="s">
        <v>217</v>
      </c>
      <c r="D4" s="242"/>
      <c r="E4" s="242"/>
      <c r="F4" s="242"/>
      <c r="G4" s="242"/>
      <c r="H4" s="39"/>
      <c r="I4" s="40"/>
    </row>
    <row r="5" spans="1:12" ht="15" customHeight="1">
      <c r="A5" s="41"/>
      <c r="C5" s="43"/>
      <c r="D5" s="43"/>
      <c r="E5" s="43"/>
      <c r="I5" s="44"/>
    </row>
    <row r="6" spans="1:12">
      <c r="A6" s="45" t="s">
        <v>58</v>
      </c>
      <c r="B6" s="33"/>
      <c r="C6" s="46" t="s">
        <v>59</v>
      </c>
      <c r="D6" s="33"/>
      <c r="E6" s="33"/>
      <c r="F6" s="33"/>
      <c r="G6" s="33"/>
      <c r="H6" s="33"/>
      <c r="I6" s="32"/>
    </row>
    <row r="7" spans="1:12" ht="14.4">
      <c r="A7" s="36"/>
      <c r="B7" s="47"/>
      <c r="C7" s="38" t="s">
        <v>55</v>
      </c>
      <c r="D7" s="39"/>
      <c r="E7" s="39"/>
      <c r="F7" s="39"/>
      <c r="G7" s="39"/>
      <c r="H7" s="39"/>
      <c r="I7" s="40"/>
      <c r="L7" s="65"/>
    </row>
    <row r="8" spans="1:12">
      <c r="A8" s="41"/>
      <c r="B8" s="33"/>
      <c r="C8" s="33"/>
      <c r="D8" s="33"/>
      <c r="E8" s="33"/>
      <c r="F8" s="33"/>
      <c r="G8" s="33"/>
      <c r="H8" s="33"/>
      <c r="I8" s="44"/>
    </row>
    <row r="9" spans="1:12">
      <c r="A9" s="45" t="s">
        <v>82</v>
      </c>
      <c r="B9" s="33"/>
      <c r="C9" s="266" t="s">
        <v>60</v>
      </c>
      <c r="D9" s="240"/>
      <c r="E9" s="240"/>
      <c r="F9" s="240"/>
      <c r="G9" s="240"/>
      <c r="H9" s="240"/>
      <c r="I9" s="267"/>
    </row>
    <row r="10" spans="1:12" ht="25.5" customHeight="1">
      <c r="A10" s="52"/>
      <c r="B10" s="39"/>
      <c r="C10" s="268" t="s">
        <v>279</v>
      </c>
      <c r="D10" s="269"/>
      <c r="E10" s="269"/>
      <c r="F10" s="269"/>
      <c r="G10" s="269"/>
      <c r="H10" s="269"/>
      <c r="I10" s="270"/>
    </row>
    <row r="11" spans="1:12">
      <c r="A11" s="271" t="s">
        <v>74</v>
      </c>
      <c r="B11" s="271"/>
      <c r="C11" s="271"/>
      <c r="D11" s="271"/>
      <c r="E11" s="271"/>
      <c r="F11" s="271"/>
      <c r="G11" s="271"/>
      <c r="H11" s="271"/>
      <c r="I11" s="271"/>
    </row>
    <row r="12" spans="1:12" ht="15" customHeight="1">
      <c r="A12" s="272"/>
      <c r="B12" s="272"/>
      <c r="C12" s="272"/>
      <c r="D12" s="272"/>
      <c r="E12" s="272"/>
      <c r="F12" s="272"/>
      <c r="G12" s="272"/>
      <c r="H12" s="272"/>
      <c r="I12" s="272"/>
    </row>
    <row r="13" spans="1:12" ht="36.6" customHeight="1">
      <c r="A13" s="53" t="s">
        <v>0</v>
      </c>
      <c r="B13" s="53" t="s">
        <v>66</v>
      </c>
      <c r="C13" s="54" t="s">
        <v>67</v>
      </c>
      <c r="D13" s="54" t="s">
        <v>75</v>
      </c>
      <c r="E13" s="54" t="s">
        <v>76</v>
      </c>
      <c r="F13" s="54" t="s">
        <v>77</v>
      </c>
      <c r="G13" s="54" t="s">
        <v>91</v>
      </c>
      <c r="H13" s="66" t="s">
        <v>196</v>
      </c>
      <c r="I13" s="66" t="s">
        <v>78</v>
      </c>
    </row>
    <row r="14" spans="1:12">
      <c r="A14" s="260" t="s">
        <v>95</v>
      </c>
      <c r="B14" s="260"/>
      <c r="C14" s="260"/>
      <c r="D14" s="260"/>
      <c r="E14" s="260"/>
      <c r="F14" s="260"/>
      <c r="G14" s="260"/>
      <c r="H14" s="260"/>
      <c r="I14" s="260"/>
    </row>
    <row r="15" spans="1:12" ht="39" customHeight="1">
      <c r="A15" s="55" t="s">
        <v>3</v>
      </c>
      <c r="B15" s="4" t="s">
        <v>119</v>
      </c>
      <c r="C15" s="3" t="s">
        <v>2</v>
      </c>
      <c r="D15" s="145">
        <v>3</v>
      </c>
      <c r="E15" s="146"/>
      <c r="F15" s="146">
        <v>2</v>
      </c>
      <c r="G15" s="148"/>
      <c r="H15" s="146"/>
      <c r="I15" s="56">
        <f>TRUNC(PRODUCT(D15:G15)-H15,2)</f>
        <v>6</v>
      </c>
    </row>
    <row r="16" spans="1:12" ht="46.2" customHeight="1">
      <c r="A16" s="55" t="s">
        <v>4</v>
      </c>
      <c r="B16" s="4" t="s">
        <v>120</v>
      </c>
      <c r="C16" s="3" t="s">
        <v>2</v>
      </c>
      <c r="D16" s="145">
        <v>43</v>
      </c>
      <c r="E16" s="146">
        <v>26</v>
      </c>
      <c r="F16" s="146"/>
      <c r="G16" s="148"/>
      <c r="H16" s="146"/>
      <c r="I16" s="56">
        <f t="shared" ref="I16" si="0">TRUNC(PRODUCT(D16:G16)-H16,2)</f>
        <v>1118</v>
      </c>
    </row>
    <row r="17" spans="1:11" ht="47.4" customHeight="1">
      <c r="A17" s="55" t="s">
        <v>11</v>
      </c>
      <c r="B17" s="4" t="s">
        <v>192</v>
      </c>
      <c r="C17" s="3" t="s">
        <v>1</v>
      </c>
      <c r="D17" s="145">
        <v>50</v>
      </c>
      <c r="E17" s="146">
        <v>30</v>
      </c>
      <c r="F17" s="146"/>
      <c r="G17" s="148"/>
      <c r="H17" s="146"/>
      <c r="I17" s="56">
        <f>TRUNC(2*(D17+E17),2)</f>
        <v>160</v>
      </c>
    </row>
    <row r="18" spans="1:11" ht="13.8">
      <c r="A18" s="264"/>
      <c r="B18" s="264"/>
      <c r="C18" s="264"/>
      <c r="D18" s="264"/>
      <c r="E18" s="264"/>
      <c r="F18" s="264"/>
      <c r="G18" s="264"/>
      <c r="H18" s="264"/>
      <c r="I18" s="264"/>
      <c r="K18" s="62"/>
    </row>
    <row r="19" spans="1:11" ht="16.5" customHeight="1">
      <c r="A19" s="260" t="s">
        <v>114</v>
      </c>
      <c r="B19" s="260"/>
      <c r="C19" s="260"/>
      <c r="D19" s="260"/>
      <c r="E19" s="260"/>
      <c r="F19" s="260"/>
      <c r="G19" s="260"/>
      <c r="H19" s="260"/>
      <c r="I19" s="260"/>
    </row>
    <row r="20" spans="1:11" ht="26.4">
      <c r="A20" s="55" t="s">
        <v>5</v>
      </c>
      <c r="B20" s="4" t="s">
        <v>121</v>
      </c>
      <c r="C20" s="3" t="s">
        <v>2</v>
      </c>
      <c r="D20" s="145">
        <v>43</v>
      </c>
      <c r="E20" s="146">
        <v>26</v>
      </c>
      <c r="F20" s="130"/>
      <c r="G20" s="147"/>
      <c r="H20" s="147"/>
      <c r="I20" s="56">
        <f t="shared" ref="I20:I35" si="1">TRUNC(PRODUCT(D20:G20)-H20,2)</f>
        <v>1118</v>
      </c>
    </row>
    <row r="21" spans="1:11" ht="39.6">
      <c r="A21" s="55" t="s">
        <v>6</v>
      </c>
      <c r="B21" s="4" t="s">
        <v>191</v>
      </c>
      <c r="C21" s="3" t="s">
        <v>10</v>
      </c>
      <c r="D21" s="129">
        <f>D20+D20+E20+E20</f>
        <v>138</v>
      </c>
      <c r="E21" s="130">
        <v>0.2</v>
      </c>
      <c r="F21" s="130">
        <v>0.4</v>
      </c>
      <c r="G21" s="147"/>
      <c r="H21" s="147"/>
      <c r="I21" s="56">
        <f t="shared" si="1"/>
        <v>11.04</v>
      </c>
    </row>
    <row r="22" spans="1:11" ht="39.6">
      <c r="A22" s="55" t="s">
        <v>94</v>
      </c>
      <c r="B22" s="4" t="s">
        <v>122</v>
      </c>
      <c r="C22" s="3" t="s">
        <v>10</v>
      </c>
      <c r="D22" s="129"/>
      <c r="E22" s="130"/>
      <c r="F22" s="130"/>
      <c r="G22" s="147"/>
      <c r="H22" s="147"/>
      <c r="I22" s="56"/>
    </row>
    <row r="23" spans="1:11">
      <c r="A23" s="55"/>
      <c r="B23" s="4"/>
      <c r="C23" s="3"/>
      <c r="D23" s="129"/>
      <c r="E23" s="130"/>
      <c r="F23" s="130"/>
      <c r="G23" s="147"/>
      <c r="H23" s="147"/>
      <c r="I23" s="56"/>
    </row>
    <row r="24" spans="1:11">
      <c r="A24" s="55"/>
      <c r="B24" s="149" t="s">
        <v>255</v>
      </c>
      <c r="C24" s="3"/>
      <c r="D24" s="129">
        <v>2.35</v>
      </c>
      <c r="E24" s="130">
        <v>2.75</v>
      </c>
      <c r="F24" s="130">
        <v>1.5</v>
      </c>
      <c r="G24" s="147">
        <v>4</v>
      </c>
      <c r="H24" s="147"/>
      <c r="I24" s="56">
        <f t="shared" si="1"/>
        <v>38.770000000000003</v>
      </c>
    </row>
    <row r="25" spans="1:11">
      <c r="A25" s="55"/>
      <c r="B25" s="149" t="s">
        <v>256</v>
      </c>
      <c r="C25" s="3"/>
      <c r="D25" s="129">
        <v>0.8</v>
      </c>
      <c r="E25" s="130">
        <v>1.2</v>
      </c>
      <c r="F25" s="130">
        <v>1.5</v>
      </c>
      <c r="G25" s="147">
        <v>12</v>
      </c>
      <c r="H25" s="147"/>
      <c r="I25" s="56">
        <f t="shared" si="1"/>
        <v>17.28</v>
      </c>
    </row>
    <row r="26" spans="1:11">
      <c r="A26" s="55"/>
      <c r="B26" s="149" t="s">
        <v>257</v>
      </c>
      <c r="C26" s="3"/>
      <c r="D26" s="129">
        <v>1.6</v>
      </c>
      <c r="E26" s="130">
        <v>2.15</v>
      </c>
      <c r="F26" s="130">
        <v>1.5</v>
      </c>
      <c r="G26" s="147">
        <v>4</v>
      </c>
      <c r="H26" s="147"/>
      <c r="I26" s="56">
        <f t="shared" si="1"/>
        <v>20.64</v>
      </c>
    </row>
    <row r="27" spans="1:11">
      <c r="A27" s="55"/>
      <c r="B27" s="149" t="s">
        <v>258</v>
      </c>
      <c r="C27" s="3"/>
      <c r="D27" s="129">
        <v>1.55</v>
      </c>
      <c r="E27" s="130">
        <v>2.1</v>
      </c>
      <c r="F27" s="130">
        <v>1.5</v>
      </c>
      <c r="G27" s="147">
        <v>8</v>
      </c>
      <c r="H27" s="147"/>
      <c r="I27" s="56">
        <f t="shared" si="1"/>
        <v>39.06</v>
      </c>
    </row>
    <row r="28" spans="1:11">
      <c r="A28" s="261" t="s">
        <v>72</v>
      </c>
      <c r="B28" s="262"/>
      <c r="C28" s="262"/>
      <c r="D28" s="262"/>
      <c r="E28" s="262"/>
      <c r="F28" s="262"/>
      <c r="G28" s="262"/>
      <c r="H28" s="263"/>
      <c r="I28" s="150">
        <f>SUM(I23:I27)</f>
        <v>115.75</v>
      </c>
      <c r="J28" s="144"/>
    </row>
    <row r="29" spans="1:11" ht="39.6">
      <c r="A29" s="55" t="s">
        <v>96</v>
      </c>
      <c r="B29" s="4" t="s">
        <v>123</v>
      </c>
      <c r="C29" s="3" t="s">
        <v>10</v>
      </c>
      <c r="D29" s="129"/>
      <c r="E29" s="130"/>
      <c r="F29" s="130"/>
      <c r="G29" s="147"/>
      <c r="H29" s="147"/>
      <c r="I29" s="56"/>
      <c r="J29" s="144">
        <f>I29-(38.7*20.3*0.2*0.2)</f>
        <v>-31.424400000000009</v>
      </c>
      <c r="K29">
        <f>J29*I29</f>
        <v>0</v>
      </c>
    </row>
    <row r="30" spans="1:11">
      <c r="A30" s="55"/>
      <c r="B30" s="4"/>
      <c r="C30" s="3"/>
      <c r="D30" s="129"/>
      <c r="E30" s="130"/>
      <c r="F30" s="130"/>
      <c r="G30" s="147"/>
      <c r="H30" s="147"/>
      <c r="I30" s="56"/>
      <c r="J30" s="144"/>
    </row>
    <row r="31" spans="1:11">
      <c r="A31" s="55"/>
      <c r="B31" s="149" t="s">
        <v>218</v>
      </c>
      <c r="C31" s="3"/>
      <c r="D31" s="129">
        <v>14.21</v>
      </c>
      <c r="E31" s="130">
        <v>0.1</v>
      </c>
      <c r="F31" s="130">
        <v>0.85</v>
      </c>
      <c r="G31" s="147">
        <v>2</v>
      </c>
      <c r="H31" s="147"/>
      <c r="I31" s="56">
        <f t="shared" ref="I31" si="2">TRUNC(PRODUCT(D31:G31)-H31,2)</f>
        <v>2.41</v>
      </c>
      <c r="J31" s="144"/>
    </row>
    <row r="32" spans="1:11">
      <c r="A32" s="55"/>
      <c r="B32" s="149" t="s">
        <v>218</v>
      </c>
      <c r="C32" s="3"/>
      <c r="D32" s="129">
        <v>17.420000000000002</v>
      </c>
      <c r="E32" s="130">
        <v>0.1</v>
      </c>
      <c r="F32" s="130">
        <v>0.85</v>
      </c>
      <c r="G32" s="147">
        <v>2</v>
      </c>
      <c r="H32" s="147"/>
      <c r="I32" s="56">
        <f t="shared" si="1"/>
        <v>2.96</v>
      </c>
      <c r="J32" s="144"/>
    </row>
    <row r="33" spans="1:12">
      <c r="A33" s="55"/>
      <c r="B33" s="149" t="s">
        <v>218</v>
      </c>
      <c r="C33" s="3"/>
      <c r="D33" s="129">
        <v>14.21</v>
      </c>
      <c r="E33" s="130">
        <v>0.1</v>
      </c>
      <c r="F33" s="130">
        <v>0.35</v>
      </c>
      <c r="G33" s="147">
        <v>2</v>
      </c>
      <c r="H33" s="147"/>
      <c r="I33" s="56">
        <f t="shared" si="1"/>
        <v>0.99</v>
      </c>
      <c r="J33" s="144"/>
    </row>
    <row r="34" spans="1:12">
      <c r="A34" s="55"/>
      <c r="B34" s="149" t="s">
        <v>218</v>
      </c>
      <c r="C34" s="3"/>
      <c r="D34" s="129">
        <v>17.420000000000002</v>
      </c>
      <c r="E34" s="130">
        <v>0.1</v>
      </c>
      <c r="F34" s="130">
        <v>0.35</v>
      </c>
      <c r="G34" s="147">
        <v>2</v>
      </c>
      <c r="H34" s="147"/>
      <c r="I34" s="56">
        <f t="shared" ref="I34" si="3">TRUNC(PRODUCT(D34:G34)-H34,2)</f>
        <v>1.21</v>
      </c>
      <c r="J34" s="144"/>
    </row>
    <row r="35" spans="1:12">
      <c r="A35" s="55"/>
      <c r="B35" s="149" t="s">
        <v>195</v>
      </c>
      <c r="C35" s="3"/>
      <c r="D35" s="129">
        <v>25.7</v>
      </c>
      <c r="E35" s="130">
        <v>42.7</v>
      </c>
      <c r="F35" s="130">
        <v>0.2</v>
      </c>
      <c r="G35" s="147"/>
      <c r="H35" s="147"/>
      <c r="I35" s="56">
        <f t="shared" si="1"/>
        <v>219.47</v>
      </c>
      <c r="J35" s="144"/>
    </row>
    <row r="36" spans="1:12">
      <c r="A36" s="261" t="s">
        <v>72</v>
      </c>
      <c r="B36" s="262"/>
      <c r="C36" s="262"/>
      <c r="D36" s="262"/>
      <c r="E36" s="262"/>
      <c r="F36" s="262"/>
      <c r="G36" s="262"/>
      <c r="H36" s="263"/>
      <c r="I36" s="150">
        <f>SUM(I31:I35)</f>
        <v>227.04</v>
      </c>
      <c r="J36" s="144"/>
    </row>
    <row r="37" spans="1:12" ht="26.4">
      <c r="A37" s="55" t="s">
        <v>97</v>
      </c>
      <c r="B37" s="4" t="s">
        <v>193</v>
      </c>
      <c r="C37" s="3" t="s">
        <v>10</v>
      </c>
      <c r="E37" s="130"/>
      <c r="F37" s="130"/>
      <c r="G37" s="129">
        <f>I28-I54</f>
        <v>69.37</v>
      </c>
      <c r="H37" s="147"/>
      <c r="I37" s="56">
        <f>TRUNC(PRODUCT(E37:G37)-H37,2)</f>
        <v>69.37</v>
      </c>
    </row>
    <row r="38" spans="1:12" ht="13.8">
      <c r="A38" s="264"/>
      <c r="B38" s="264"/>
      <c r="C38" s="264"/>
      <c r="D38" s="264"/>
      <c r="E38" s="264"/>
      <c r="F38" s="264"/>
      <c r="G38" s="264"/>
      <c r="H38" s="264"/>
      <c r="I38" s="264"/>
      <c r="K38" s="62"/>
    </row>
    <row r="39" spans="1:12">
      <c r="A39" s="260" t="s">
        <v>115</v>
      </c>
      <c r="B39" s="260"/>
      <c r="C39" s="260"/>
      <c r="D39" s="260"/>
      <c r="E39" s="260"/>
      <c r="F39" s="260"/>
      <c r="G39" s="260"/>
      <c r="H39" s="260"/>
      <c r="I39" s="260"/>
    </row>
    <row r="40" spans="1:12">
      <c r="A40" s="265" t="s">
        <v>124</v>
      </c>
      <c r="B40" s="265"/>
      <c r="C40" s="265"/>
      <c r="D40" s="265"/>
      <c r="E40" s="265"/>
      <c r="F40" s="265"/>
      <c r="G40" s="265"/>
      <c r="H40" s="265"/>
      <c r="I40" s="265"/>
    </row>
    <row r="41" spans="1:12" ht="26.4">
      <c r="A41" s="55" t="s">
        <v>125</v>
      </c>
      <c r="B41" s="4" t="s">
        <v>128</v>
      </c>
      <c r="C41" s="3" t="s">
        <v>2</v>
      </c>
      <c r="D41" s="56"/>
      <c r="E41" s="56"/>
      <c r="F41" s="56"/>
      <c r="G41" s="56"/>
      <c r="H41" s="56"/>
      <c r="I41" s="56"/>
      <c r="L41" s="67"/>
    </row>
    <row r="42" spans="1:12">
      <c r="A42" s="55"/>
      <c r="B42" s="4"/>
      <c r="C42" s="3"/>
      <c r="D42" s="129"/>
      <c r="E42" s="130"/>
      <c r="F42" s="130"/>
      <c r="G42" s="147"/>
      <c r="H42" s="147"/>
      <c r="I42" s="56"/>
      <c r="J42" s="144"/>
    </row>
    <row r="43" spans="1:12">
      <c r="A43" s="55"/>
      <c r="B43" s="149" t="s">
        <v>255</v>
      </c>
      <c r="C43" s="3"/>
      <c r="D43" s="129">
        <v>2.35</v>
      </c>
      <c r="E43" s="130">
        <v>2.75</v>
      </c>
      <c r="F43" s="130"/>
      <c r="G43" s="147">
        <v>4</v>
      </c>
      <c r="H43" s="147"/>
      <c r="I43" s="56">
        <f t="shared" ref="I43:I54" si="4">TRUNC(PRODUCT(D43:G43)-H43,2)</f>
        <v>25.85</v>
      </c>
    </row>
    <row r="44" spans="1:12">
      <c r="A44" s="55"/>
      <c r="B44" s="149" t="s">
        <v>256</v>
      </c>
      <c r="C44" s="3"/>
      <c r="D44" s="129">
        <v>0.8</v>
      </c>
      <c r="E44" s="130">
        <v>1.2</v>
      </c>
      <c r="F44" s="130"/>
      <c r="G44" s="147">
        <v>12</v>
      </c>
      <c r="H44" s="147"/>
      <c r="I44" s="56">
        <f t="shared" si="4"/>
        <v>11.52</v>
      </c>
    </row>
    <row r="45" spans="1:12">
      <c r="A45" s="55"/>
      <c r="B45" s="149" t="s">
        <v>257</v>
      </c>
      <c r="C45" s="3"/>
      <c r="D45" s="129">
        <v>1.6</v>
      </c>
      <c r="E45" s="130">
        <v>2.15</v>
      </c>
      <c r="F45" s="130"/>
      <c r="G45" s="147">
        <v>4</v>
      </c>
      <c r="H45" s="147"/>
      <c r="I45" s="56">
        <f t="shared" si="4"/>
        <v>13.76</v>
      </c>
    </row>
    <row r="46" spans="1:12">
      <c r="A46" s="55"/>
      <c r="B46" s="149" t="s">
        <v>258</v>
      </c>
      <c r="C46" s="3"/>
      <c r="D46" s="129">
        <v>1.55</v>
      </c>
      <c r="E46" s="130">
        <v>2.1</v>
      </c>
      <c r="F46" s="130"/>
      <c r="G46" s="147">
        <v>8</v>
      </c>
      <c r="H46" s="147"/>
      <c r="I46" s="56">
        <f t="shared" si="4"/>
        <v>26.04</v>
      </c>
    </row>
    <row r="47" spans="1:12">
      <c r="A47" s="261" t="s">
        <v>72</v>
      </c>
      <c r="B47" s="262"/>
      <c r="C47" s="262"/>
      <c r="D47" s="262"/>
      <c r="E47" s="262"/>
      <c r="F47" s="262"/>
      <c r="G47" s="262"/>
      <c r="H47" s="263"/>
      <c r="I47" s="150">
        <f>SUM(I43:I46)</f>
        <v>77.17</v>
      </c>
      <c r="J47" s="144"/>
    </row>
    <row r="48" spans="1:12" ht="39.6">
      <c r="A48" s="55" t="s">
        <v>126</v>
      </c>
      <c r="B48" s="2" t="s">
        <v>129</v>
      </c>
      <c r="C48" s="1" t="s">
        <v>2</v>
      </c>
      <c r="D48" s="56">
        <f>102.4+42.24</f>
        <v>144.64000000000001</v>
      </c>
      <c r="E48" s="56"/>
      <c r="F48" s="56"/>
      <c r="G48" s="56"/>
      <c r="H48" s="56"/>
      <c r="I48" s="56">
        <f t="shared" si="4"/>
        <v>144.63999999999999</v>
      </c>
      <c r="L48" s="67"/>
    </row>
    <row r="49" spans="1:12" ht="26.4">
      <c r="A49" s="55" t="s">
        <v>127</v>
      </c>
      <c r="B49" s="2" t="s">
        <v>130</v>
      </c>
      <c r="C49" s="1" t="s">
        <v>16</v>
      </c>
      <c r="D49" s="56">
        <f>125/1.1</f>
        <v>113.63636363636363</v>
      </c>
      <c r="E49" s="56"/>
      <c r="F49" s="56"/>
      <c r="G49" s="56"/>
      <c r="H49" s="56"/>
      <c r="I49" s="56">
        <f t="shared" si="4"/>
        <v>113.63</v>
      </c>
      <c r="L49" s="67"/>
    </row>
    <row r="50" spans="1:12" ht="26.4">
      <c r="A50" s="55" t="s">
        <v>132</v>
      </c>
      <c r="B50" s="4" t="s">
        <v>131</v>
      </c>
      <c r="C50" s="3" t="s">
        <v>16</v>
      </c>
      <c r="D50" s="56">
        <f>(592.1+727.1)/1.1</f>
        <v>1199.2727272727273</v>
      </c>
      <c r="E50" s="56"/>
      <c r="F50" s="56"/>
      <c r="G50" s="56"/>
      <c r="H50" s="56"/>
      <c r="I50" s="56">
        <f t="shared" si="4"/>
        <v>1199.27</v>
      </c>
      <c r="L50" s="67"/>
    </row>
    <row r="51" spans="1:12" ht="26.4">
      <c r="A51" s="55" t="s">
        <v>133</v>
      </c>
      <c r="B51" s="2" t="s">
        <v>261</v>
      </c>
      <c r="C51" s="1" t="s">
        <v>16</v>
      </c>
      <c r="D51" s="56">
        <f>(86.9+1318.7)/1.1</f>
        <v>1277.8181818181818</v>
      </c>
      <c r="E51" s="56"/>
      <c r="F51" s="56"/>
      <c r="G51" s="56"/>
      <c r="H51" s="56"/>
      <c r="I51" s="56">
        <f t="shared" si="4"/>
        <v>1277.81</v>
      </c>
      <c r="L51" s="67"/>
    </row>
    <row r="52" spans="1:12" ht="26.4">
      <c r="A52" s="55" t="s">
        <v>133</v>
      </c>
      <c r="B52" s="2" t="s">
        <v>262</v>
      </c>
      <c r="C52" s="1" t="s">
        <v>16</v>
      </c>
      <c r="D52" s="56">
        <f>89.6/1.1</f>
        <v>81.454545454545439</v>
      </c>
      <c r="E52" s="56"/>
      <c r="F52" s="56"/>
      <c r="G52" s="56"/>
      <c r="H52" s="56"/>
      <c r="I52" s="56">
        <f t="shared" ref="I52" si="5">TRUNC(PRODUCT(D52:G52)-H52,2)</f>
        <v>81.45</v>
      </c>
      <c r="L52" s="67"/>
    </row>
    <row r="53" spans="1:12" ht="26.4">
      <c r="A53" s="55" t="s">
        <v>133</v>
      </c>
      <c r="B53" s="2" t="s">
        <v>135</v>
      </c>
      <c r="C53" s="1" t="s">
        <v>16</v>
      </c>
      <c r="D53" s="56">
        <f>(64+350)/1.1</f>
        <v>376.36363636363632</v>
      </c>
      <c r="E53" s="56"/>
      <c r="F53" s="56"/>
      <c r="G53" s="56"/>
      <c r="H53" s="56"/>
      <c r="I53" s="56">
        <f t="shared" si="4"/>
        <v>376.36</v>
      </c>
      <c r="L53" s="67"/>
    </row>
    <row r="54" spans="1:12" ht="39.6">
      <c r="A54" s="55" t="s">
        <v>134</v>
      </c>
      <c r="B54" s="2" t="s">
        <v>98</v>
      </c>
      <c r="C54" s="1" t="s">
        <v>10</v>
      </c>
      <c r="D54" s="56">
        <f>12.98+33.4</f>
        <v>46.379999999999995</v>
      </c>
      <c r="E54" s="56"/>
      <c r="F54" s="56"/>
      <c r="G54" s="56"/>
      <c r="H54" s="56"/>
      <c r="I54" s="56">
        <f t="shared" si="4"/>
        <v>46.38</v>
      </c>
      <c r="L54" s="67"/>
    </row>
    <row r="55" spans="1:12" ht="26.4">
      <c r="A55" s="55" t="s">
        <v>136</v>
      </c>
      <c r="B55" s="2" t="s">
        <v>139</v>
      </c>
      <c r="C55" s="1" t="s">
        <v>2</v>
      </c>
      <c r="D55" s="129">
        <v>138</v>
      </c>
      <c r="E55" s="56">
        <v>0.2</v>
      </c>
      <c r="F55" s="56">
        <v>0.4</v>
      </c>
      <c r="G55" s="56"/>
      <c r="H55" s="56"/>
      <c r="I55" s="56">
        <f>TRUNC(D55*(E55*3),2)</f>
        <v>82.8</v>
      </c>
      <c r="L55" s="67"/>
    </row>
    <row r="56" spans="1:12">
      <c r="A56" s="265" t="s">
        <v>117</v>
      </c>
      <c r="B56" s="265"/>
      <c r="C56" s="265"/>
      <c r="D56" s="265"/>
      <c r="E56" s="265"/>
      <c r="F56" s="265"/>
      <c r="G56" s="265"/>
      <c r="H56" s="265"/>
      <c r="I56" s="265"/>
    </row>
    <row r="57" spans="1:12" ht="26.4">
      <c r="A57" s="55" t="s">
        <v>142</v>
      </c>
      <c r="B57" s="4" t="s">
        <v>138</v>
      </c>
      <c r="C57" s="3" t="s">
        <v>2</v>
      </c>
      <c r="D57" s="56">
        <f>53.81+45.6+66.35</f>
        <v>165.76</v>
      </c>
      <c r="E57" s="56"/>
      <c r="F57" s="56"/>
      <c r="G57" s="56"/>
      <c r="H57" s="56"/>
      <c r="I57" s="56">
        <f t="shared" ref="I57:I62" si="6">TRUNC(PRODUCT(D57:G57)-H57,2)</f>
        <v>165.76</v>
      </c>
      <c r="L57" s="67"/>
    </row>
    <row r="58" spans="1:12" ht="39.6">
      <c r="A58" s="55" t="s">
        <v>143</v>
      </c>
      <c r="B58" s="2" t="s">
        <v>140</v>
      </c>
      <c r="C58" s="1" t="s">
        <v>16</v>
      </c>
      <c r="D58" s="56">
        <f>(121.6+50.6+62.5)/1.1</f>
        <v>213.36363636363635</v>
      </c>
      <c r="E58" s="56"/>
      <c r="F58" s="56"/>
      <c r="G58" s="56"/>
      <c r="H58" s="56"/>
      <c r="I58" s="56">
        <f t="shared" si="6"/>
        <v>213.36</v>
      </c>
      <c r="L58" s="67"/>
    </row>
    <row r="59" spans="1:12" ht="39.6">
      <c r="A59" s="55" t="s">
        <v>144</v>
      </c>
      <c r="B59" s="2" t="s">
        <v>264</v>
      </c>
      <c r="C59" s="1" t="s">
        <v>16</v>
      </c>
      <c r="D59" s="56">
        <f>(164.1+117.8+195.3)/1.1</f>
        <v>433.81818181818176</v>
      </c>
      <c r="E59" s="56"/>
      <c r="F59" s="56"/>
      <c r="G59" s="56"/>
      <c r="H59" s="56"/>
      <c r="I59" s="56">
        <f t="shared" ref="I59" si="7">TRUNC(PRODUCT(D59:G59)-H59,2)</f>
        <v>433.81</v>
      </c>
      <c r="L59" s="67"/>
    </row>
    <row r="60" spans="1:12" ht="39.6">
      <c r="A60" s="55" t="s">
        <v>145</v>
      </c>
      <c r="B60" s="2" t="s">
        <v>266</v>
      </c>
      <c r="C60" s="1" t="s">
        <v>16</v>
      </c>
      <c r="D60" s="56">
        <f>120.4/1.1</f>
        <v>109.45454545454545</v>
      </c>
      <c r="E60" s="56"/>
      <c r="F60" s="56"/>
      <c r="G60" s="56"/>
      <c r="H60" s="56"/>
      <c r="I60" s="56">
        <f t="shared" ref="I60" si="8">TRUNC(PRODUCT(D60:G60)-H60,2)</f>
        <v>109.45</v>
      </c>
      <c r="L60" s="67"/>
    </row>
    <row r="61" spans="1:12" ht="39.6">
      <c r="A61" s="55" t="s">
        <v>263</v>
      </c>
      <c r="B61" s="2" t="s">
        <v>141</v>
      </c>
      <c r="C61" s="1" t="s">
        <v>16</v>
      </c>
      <c r="D61" s="56">
        <f>(106.4+76.1+101.4)/1.1</f>
        <v>258.09090909090907</v>
      </c>
      <c r="E61" s="56"/>
      <c r="F61" s="56"/>
      <c r="G61" s="56"/>
      <c r="H61" s="56"/>
      <c r="I61" s="56">
        <f t="shared" si="6"/>
        <v>258.08999999999997</v>
      </c>
      <c r="L61" s="67"/>
    </row>
    <row r="62" spans="1:12" ht="39.6">
      <c r="A62" s="55" t="s">
        <v>265</v>
      </c>
      <c r="B62" s="4" t="s">
        <v>146</v>
      </c>
      <c r="C62" s="3" t="s">
        <v>10</v>
      </c>
      <c r="D62" s="56">
        <f>4.25+3.6+5.24</f>
        <v>13.09</v>
      </c>
      <c r="E62" s="56"/>
      <c r="F62" s="56"/>
      <c r="G62" s="56"/>
      <c r="H62" s="56"/>
      <c r="I62" s="56">
        <f t="shared" si="6"/>
        <v>13.09</v>
      </c>
      <c r="L62" s="67"/>
    </row>
    <row r="63" spans="1:12">
      <c r="A63" s="265" t="s">
        <v>118</v>
      </c>
      <c r="B63" s="265"/>
      <c r="C63" s="265"/>
      <c r="D63" s="265"/>
      <c r="E63" s="265"/>
      <c r="F63" s="265"/>
      <c r="G63" s="265"/>
      <c r="H63" s="265"/>
      <c r="I63" s="265"/>
    </row>
    <row r="64" spans="1:12" ht="26.4">
      <c r="A64" s="55" t="s">
        <v>147</v>
      </c>
      <c r="B64" s="4" t="s">
        <v>152</v>
      </c>
      <c r="C64" s="3" t="s">
        <v>2</v>
      </c>
      <c r="D64" s="56">
        <f>38.73+38.73+38.73</f>
        <v>116.19</v>
      </c>
      <c r="E64" s="56"/>
      <c r="F64" s="56"/>
      <c r="G64" s="56"/>
      <c r="H64" s="56"/>
      <c r="I64" s="56">
        <f t="shared" ref="I64:I69" si="9">TRUNC(PRODUCT(D64:G64)-H64,2)</f>
        <v>116.19</v>
      </c>
      <c r="L64" s="67"/>
    </row>
    <row r="65" spans="1:12" ht="39.6">
      <c r="A65" s="55" t="s">
        <v>150</v>
      </c>
      <c r="B65" s="2" t="s">
        <v>267</v>
      </c>
      <c r="C65" s="1" t="s">
        <v>16</v>
      </c>
      <c r="D65" s="56">
        <f>(1.7)/1.1</f>
        <v>1.5454545454545452</v>
      </c>
      <c r="E65" s="56"/>
      <c r="F65" s="56"/>
      <c r="G65" s="56"/>
      <c r="H65" s="56"/>
      <c r="I65" s="56">
        <f t="shared" ref="I65" si="10">TRUNC(PRODUCT(D65:G65)-H65,2)</f>
        <v>1.54</v>
      </c>
      <c r="L65" s="67"/>
    </row>
    <row r="66" spans="1:12" ht="39.6">
      <c r="A66" s="55" t="s">
        <v>151</v>
      </c>
      <c r="B66" s="2" t="s">
        <v>153</v>
      </c>
      <c r="C66" s="1" t="s">
        <v>16</v>
      </c>
      <c r="D66" s="56">
        <f>(116+86.1)/1.1</f>
        <v>183.72727272727272</v>
      </c>
      <c r="E66" s="56"/>
      <c r="F66" s="56"/>
      <c r="G66" s="56"/>
      <c r="H66" s="56"/>
      <c r="I66" s="56">
        <f t="shared" si="9"/>
        <v>183.72</v>
      </c>
      <c r="L66" s="67"/>
    </row>
    <row r="67" spans="1:12" ht="39.6">
      <c r="A67" s="55" t="s">
        <v>197</v>
      </c>
      <c r="B67" s="2" t="s">
        <v>264</v>
      </c>
      <c r="C67" s="1" t="s">
        <v>16</v>
      </c>
      <c r="D67" s="56">
        <f>(103.6)/1.1</f>
        <v>94.181818181818173</v>
      </c>
      <c r="E67" s="56"/>
      <c r="F67" s="56"/>
      <c r="G67" s="56"/>
      <c r="H67" s="56"/>
      <c r="I67" s="56">
        <f t="shared" ref="I67" si="11">TRUNC(PRODUCT(D67:G67)-H67,2)</f>
        <v>94.18</v>
      </c>
      <c r="L67" s="67"/>
    </row>
    <row r="68" spans="1:12" ht="39.6">
      <c r="A68" s="55" t="s">
        <v>268</v>
      </c>
      <c r="B68" s="2" t="s">
        <v>141</v>
      </c>
      <c r="C68" s="1" t="s">
        <v>16</v>
      </c>
      <c r="D68" s="56">
        <f>(31.9+31.9+31.9)/1.1</f>
        <v>86.999999999999986</v>
      </c>
      <c r="E68" s="56"/>
      <c r="F68" s="56"/>
      <c r="G68" s="56"/>
      <c r="H68" s="56"/>
      <c r="I68" s="56">
        <f t="shared" si="9"/>
        <v>87</v>
      </c>
      <c r="L68" s="67"/>
    </row>
    <row r="69" spans="1:12" ht="52.8">
      <c r="A69" s="55" t="s">
        <v>269</v>
      </c>
      <c r="B69" s="4" t="s">
        <v>154</v>
      </c>
      <c r="C69" s="3" t="s">
        <v>10</v>
      </c>
      <c r="D69" s="56">
        <f>2.31*3</f>
        <v>6.93</v>
      </c>
      <c r="E69" s="56"/>
      <c r="F69" s="56"/>
      <c r="G69" s="56"/>
      <c r="H69" s="56"/>
      <c r="I69" s="56">
        <f t="shared" si="9"/>
        <v>6.93</v>
      </c>
      <c r="L69" s="67"/>
    </row>
    <row r="70" spans="1:12">
      <c r="A70" s="265" t="s">
        <v>198</v>
      </c>
      <c r="B70" s="265"/>
      <c r="C70" s="265"/>
      <c r="D70" s="265"/>
      <c r="E70" s="265"/>
      <c r="F70" s="265"/>
      <c r="G70" s="265"/>
      <c r="H70" s="265"/>
      <c r="I70" s="265"/>
    </row>
    <row r="71" spans="1:12" ht="52.8">
      <c r="A71" s="55" t="s">
        <v>147</v>
      </c>
      <c r="B71" s="4" t="s">
        <v>148</v>
      </c>
      <c r="C71" s="3" t="s">
        <v>2</v>
      </c>
      <c r="D71" s="56"/>
      <c r="E71" s="56"/>
      <c r="F71" s="56"/>
      <c r="G71" s="56"/>
      <c r="H71" s="56"/>
      <c r="I71" s="56"/>
      <c r="L71" s="67"/>
    </row>
    <row r="72" spans="1:12">
      <c r="A72" s="55"/>
      <c r="B72" s="4"/>
      <c r="C72" s="3"/>
      <c r="D72" s="129"/>
      <c r="E72" s="130"/>
      <c r="F72" s="130"/>
      <c r="G72" s="147"/>
      <c r="H72" s="147"/>
      <c r="I72" s="56"/>
      <c r="J72" s="144"/>
    </row>
    <row r="73" spans="1:12">
      <c r="A73" s="55"/>
      <c r="B73" s="149" t="s">
        <v>218</v>
      </c>
      <c r="C73" s="3"/>
      <c r="D73" s="129">
        <v>14.21</v>
      </c>
      <c r="E73" s="130">
        <v>0.5</v>
      </c>
      <c r="F73" s="130"/>
      <c r="G73" s="147">
        <v>4</v>
      </c>
      <c r="H73" s="147"/>
      <c r="I73" s="56">
        <f t="shared" ref="I73:I74" si="12">TRUNC(PRODUCT(D73:G73)-H73,2)</f>
        <v>28.42</v>
      </c>
      <c r="J73" s="144"/>
    </row>
    <row r="74" spans="1:12">
      <c r="A74" s="55"/>
      <c r="B74" s="149" t="s">
        <v>218</v>
      </c>
      <c r="C74" s="3"/>
      <c r="D74" s="129">
        <v>17.420000000000002</v>
      </c>
      <c r="E74" s="130">
        <v>0.5</v>
      </c>
      <c r="F74" s="130"/>
      <c r="G74" s="147">
        <v>4</v>
      </c>
      <c r="H74" s="147"/>
      <c r="I74" s="56">
        <f t="shared" si="12"/>
        <v>34.840000000000003</v>
      </c>
      <c r="J74" s="144"/>
    </row>
    <row r="75" spans="1:12">
      <c r="A75" s="261" t="s">
        <v>72</v>
      </c>
      <c r="B75" s="262"/>
      <c r="C75" s="262"/>
      <c r="D75" s="262"/>
      <c r="E75" s="262"/>
      <c r="F75" s="262"/>
      <c r="G75" s="262"/>
      <c r="H75" s="263"/>
      <c r="I75" s="150">
        <f>SUM(I73:I74)</f>
        <v>63.260000000000005</v>
      </c>
      <c r="J75" s="144"/>
    </row>
    <row r="76" spans="1:12" ht="13.8">
      <c r="A76" s="246"/>
      <c r="B76" s="247"/>
      <c r="C76" s="247"/>
      <c r="D76" s="247"/>
      <c r="E76" s="247"/>
      <c r="F76" s="247"/>
      <c r="G76" s="247"/>
      <c r="H76" s="247"/>
      <c r="I76" s="248"/>
    </row>
    <row r="77" spans="1:12">
      <c r="A77" s="260" t="s">
        <v>101</v>
      </c>
      <c r="B77" s="260"/>
      <c r="C77" s="260"/>
      <c r="D77" s="260"/>
      <c r="E77" s="260"/>
      <c r="F77" s="260"/>
      <c r="G77" s="260"/>
      <c r="H77" s="260"/>
      <c r="I77" s="260"/>
    </row>
    <row r="78" spans="1:12" ht="52.8">
      <c r="A78" s="55" t="s">
        <v>7</v>
      </c>
      <c r="B78" s="2" t="s">
        <v>99</v>
      </c>
      <c r="C78" s="1" t="s">
        <v>2</v>
      </c>
      <c r="D78" s="129">
        <v>3.95</v>
      </c>
      <c r="E78" s="129"/>
      <c r="F78" s="129">
        <v>1.96</v>
      </c>
      <c r="G78" s="129">
        <v>10</v>
      </c>
      <c r="H78" s="131"/>
      <c r="I78" s="56">
        <f>TRUNC(PRODUCT(D78:G78)-H78,2)</f>
        <v>77.42</v>
      </c>
      <c r="L78" s="67"/>
    </row>
    <row r="79" spans="1:12" ht="52.8">
      <c r="A79" s="55" t="s">
        <v>8</v>
      </c>
      <c r="B79" s="2" t="s">
        <v>200</v>
      </c>
      <c r="C79" s="1" t="s">
        <v>10</v>
      </c>
      <c r="D79" s="129"/>
      <c r="E79" s="129"/>
      <c r="F79" s="129"/>
      <c r="G79" s="129"/>
      <c r="H79" s="129"/>
      <c r="I79" s="56"/>
      <c r="L79" s="67"/>
    </row>
    <row r="80" spans="1:12" ht="14.4" customHeight="1">
      <c r="A80" s="55"/>
      <c r="B80" s="4"/>
      <c r="C80" s="3"/>
      <c r="D80" s="129"/>
      <c r="E80" s="130"/>
      <c r="F80" s="130"/>
      <c r="G80" s="147"/>
      <c r="H80" s="147"/>
      <c r="I80" s="56"/>
      <c r="J80" s="144"/>
    </row>
    <row r="81" spans="1:12">
      <c r="A81" s="55"/>
      <c r="B81" s="149" t="s">
        <v>270</v>
      </c>
      <c r="C81" s="3"/>
      <c r="D81" s="129">
        <v>31.62</v>
      </c>
      <c r="E81" s="130">
        <v>0.5</v>
      </c>
      <c r="F81" s="130"/>
      <c r="G81" s="147">
        <v>2</v>
      </c>
      <c r="H81" s="147"/>
      <c r="I81" s="56">
        <f t="shared" ref="I81:I82" si="13">TRUNC(PRODUCT(D81:G81)-H81,2)</f>
        <v>31.62</v>
      </c>
      <c r="J81" s="144"/>
      <c r="K81">
        <f>14.21*2</f>
        <v>28.42</v>
      </c>
      <c r="L81">
        <f>17.42*2</f>
        <v>34.840000000000003</v>
      </c>
    </row>
    <row r="82" spans="1:12">
      <c r="A82" s="55"/>
      <c r="B82" s="149" t="s">
        <v>270</v>
      </c>
      <c r="C82" s="3"/>
      <c r="D82" s="129">
        <v>38.04</v>
      </c>
      <c r="E82" s="130">
        <v>0.5</v>
      </c>
      <c r="F82" s="130"/>
      <c r="G82" s="147">
        <v>2</v>
      </c>
      <c r="H82" s="147"/>
      <c r="I82" s="56">
        <f t="shared" si="13"/>
        <v>38.04</v>
      </c>
      <c r="J82" s="144"/>
      <c r="K82">
        <f>K81+3.2</f>
        <v>31.62</v>
      </c>
      <c r="L82">
        <f>L81+3.2</f>
        <v>38.040000000000006</v>
      </c>
    </row>
    <row r="83" spans="1:12">
      <c r="A83" s="55"/>
      <c r="B83" s="149" t="s">
        <v>271</v>
      </c>
      <c r="C83" s="3"/>
      <c r="D83" s="129">
        <v>30.02</v>
      </c>
      <c r="E83" s="130">
        <v>0.5</v>
      </c>
      <c r="F83" s="130"/>
      <c r="G83" s="147">
        <v>2</v>
      </c>
      <c r="H83" s="147"/>
      <c r="I83" s="56">
        <f t="shared" ref="I83:I84" si="14">TRUNC(PRODUCT(D83:G83)-H83,2)</f>
        <v>30.02</v>
      </c>
      <c r="J83" s="144"/>
      <c r="K83">
        <f>K81+1.6</f>
        <v>30.020000000000003</v>
      </c>
      <c r="L83">
        <f>L81+1.6</f>
        <v>36.440000000000005</v>
      </c>
    </row>
    <row r="84" spans="1:12">
      <c r="A84" s="55"/>
      <c r="B84" s="149" t="s">
        <v>271</v>
      </c>
      <c r="C84" s="3"/>
      <c r="D84" s="129">
        <v>36.44</v>
      </c>
      <c r="E84" s="130">
        <v>0.5</v>
      </c>
      <c r="F84" s="130"/>
      <c r="G84" s="147">
        <v>2</v>
      </c>
      <c r="H84" s="147"/>
      <c r="I84" s="56">
        <f t="shared" si="14"/>
        <v>36.44</v>
      </c>
      <c r="J84" s="144"/>
    </row>
    <row r="85" spans="1:12">
      <c r="A85" s="261" t="s">
        <v>72</v>
      </c>
      <c r="B85" s="262"/>
      <c r="C85" s="262"/>
      <c r="D85" s="262"/>
      <c r="E85" s="262"/>
      <c r="F85" s="262"/>
      <c r="G85" s="262"/>
      <c r="H85" s="263"/>
      <c r="I85" s="150">
        <f>SUM(I81:I84)</f>
        <v>136.12</v>
      </c>
      <c r="J85" s="144"/>
    </row>
    <row r="86" spans="1:12" ht="39.6">
      <c r="A86" s="55" t="s">
        <v>219</v>
      </c>
      <c r="B86" s="2" t="s">
        <v>220</v>
      </c>
      <c r="C86" s="1" t="s">
        <v>10</v>
      </c>
      <c r="D86" s="129"/>
      <c r="E86" s="129"/>
      <c r="F86" s="129"/>
      <c r="G86" s="129"/>
      <c r="H86" s="129"/>
      <c r="I86" s="56"/>
      <c r="L86" s="67"/>
    </row>
    <row r="87" spans="1:12">
      <c r="A87" s="55"/>
      <c r="B87" s="4"/>
      <c r="C87" s="3"/>
      <c r="D87" s="129"/>
      <c r="E87" s="130"/>
      <c r="F87" s="130"/>
      <c r="G87" s="147"/>
      <c r="H87" s="147"/>
      <c r="I87" s="56"/>
      <c r="J87" s="144"/>
    </row>
    <row r="88" spans="1:12">
      <c r="A88" s="55"/>
      <c r="B88" s="149" t="s">
        <v>221</v>
      </c>
      <c r="C88" s="3"/>
      <c r="D88" s="129">
        <v>3.95</v>
      </c>
      <c r="E88" s="130"/>
      <c r="F88" s="130">
        <v>1.6</v>
      </c>
      <c r="G88" s="147">
        <v>10</v>
      </c>
      <c r="H88" s="147"/>
      <c r="I88" s="56">
        <f t="shared" ref="I88:I89" si="15">TRUNC(PRODUCT(D88:G88)-H88,2)</f>
        <v>63.2</v>
      </c>
      <c r="J88" s="144"/>
    </row>
    <row r="89" spans="1:12">
      <c r="A89" s="55"/>
      <c r="B89" s="149" t="s">
        <v>222</v>
      </c>
      <c r="C89" s="3"/>
      <c r="D89" s="129">
        <v>3.95</v>
      </c>
      <c r="E89" s="130"/>
      <c r="F89" s="130">
        <v>2.5099999999999998</v>
      </c>
      <c r="G89" s="147">
        <v>10</v>
      </c>
      <c r="H89" s="147"/>
      <c r="I89" s="56">
        <f t="shared" si="15"/>
        <v>99.14</v>
      </c>
      <c r="J89" s="144"/>
    </row>
    <row r="90" spans="1:12">
      <c r="A90" s="261" t="s">
        <v>72</v>
      </c>
      <c r="B90" s="262"/>
      <c r="C90" s="262"/>
      <c r="D90" s="262"/>
      <c r="E90" s="262"/>
      <c r="F90" s="262"/>
      <c r="G90" s="262"/>
      <c r="H90" s="263"/>
      <c r="I90" s="150">
        <f>SUM(I88:I89)</f>
        <v>162.34</v>
      </c>
      <c r="J90" s="144"/>
    </row>
    <row r="91" spans="1:12" ht="13.8">
      <c r="A91" s="246"/>
      <c r="B91" s="247"/>
      <c r="C91" s="247"/>
      <c r="D91" s="247"/>
      <c r="E91" s="247"/>
      <c r="F91" s="247"/>
      <c r="G91" s="247"/>
      <c r="H91" s="247"/>
      <c r="I91" s="248"/>
    </row>
    <row r="92" spans="1:12">
      <c r="A92" s="260" t="s">
        <v>158</v>
      </c>
      <c r="B92" s="260"/>
      <c r="C92" s="260"/>
      <c r="D92" s="260"/>
      <c r="E92" s="260"/>
      <c r="F92" s="260"/>
      <c r="G92" s="260"/>
      <c r="H92" s="260"/>
      <c r="I92" s="260"/>
    </row>
    <row r="93" spans="1:12" ht="52.8">
      <c r="A93" s="55" t="s">
        <v>9</v>
      </c>
      <c r="B93" s="2" t="s">
        <v>155</v>
      </c>
      <c r="C93" s="1" t="s">
        <v>2</v>
      </c>
      <c r="D93" s="129"/>
      <c r="E93" s="129"/>
      <c r="F93" s="129"/>
      <c r="G93" s="129"/>
      <c r="H93" s="129"/>
      <c r="I93" s="56">
        <f t="shared" ref="I93:I106" si="16">TRUNC(PRODUCT(D93:G93)-H93,2)</f>
        <v>0</v>
      </c>
      <c r="L93" s="67"/>
    </row>
    <row r="94" spans="1:12">
      <c r="A94" s="55"/>
      <c r="B94" s="4"/>
      <c r="C94" s="3"/>
      <c r="D94" s="129"/>
      <c r="E94" s="130"/>
      <c r="F94" s="130"/>
      <c r="G94" s="147"/>
      <c r="H94" s="147"/>
      <c r="I94" s="56"/>
      <c r="J94" s="144"/>
    </row>
    <row r="95" spans="1:12">
      <c r="A95" s="55"/>
      <c r="B95" s="151" t="s">
        <v>194</v>
      </c>
      <c r="C95" s="3"/>
      <c r="D95" s="129"/>
      <c r="E95" s="130"/>
      <c r="F95" s="130"/>
      <c r="G95" s="147"/>
      <c r="H95" s="147"/>
      <c r="I95" s="56"/>
      <c r="J95" s="144"/>
    </row>
    <row r="96" spans="1:12">
      <c r="A96" s="55"/>
      <c r="B96" s="4"/>
      <c r="C96" s="3"/>
      <c r="D96" s="129"/>
      <c r="E96" s="130"/>
      <c r="F96" s="130"/>
      <c r="G96" s="147"/>
      <c r="H96" s="147"/>
      <c r="I96" s="56"/>
      <c r="J96" s="144"/>
    </row>
    <row r="97" spans="1:12">
      <c r="A97" s="55"/>
      <c r="B97" s="149" t="s">
        <v>270</v>
      </c>
      <c r="C97" s="3"/>
      <c r="D97" s="129">
        <v>31.62</v>
      </c>
      <c r="E97" s="130">
        <v>0.5</v>
      </c>
      <c r="F97" s="130"/>
      <c r="G97" s="147">
        <v>2</v>
      </c>
      <c r="H97" s="147"/>
      <c r="I97" s="56">
        <f t="shared" ref="I97:I98" si="17">TRUNC(PRODUCT(D97:G97)-H97,2)</f>
        <v>31.62</v>
      </c>
      <c r="J97" s="144"/>
    </row>
    <row r="98" spans="1:12">
      <c r="A98" s="55"/>
      <c r="B98" s="149" t="s">
        <v>270</v>
      </c>
      <c r="C98" s="3"/>
      <c r="D98" s="129">
        <v>38.04</v>
      </c>
      <c r="E98" s="130">
        <v>0.5</v>
      </c>
      <c r="F98" s="130"/>
      <c r="G98" s="147">
        <v>2</v>
      </c>
      <c r="H98" s="147"/>
      <c r="I98" s="56">
        <f t="shared" si="17"/>
        <v>38.04</v>
      </c>
      <c r="J98" s="144"/>
    </row>
    <row r="99" spans="1:12">
      <c r="A99" s="55"/>
      <c r="B99" s="149" t="s">
        <v>271</v>
      </c>
      <c r="C99" s="3"/>
      <c r="D99" s="129">
        <v>30.02</v>
      </c>
      <c r="E99" s="130">
        <v>0.5</v>
      </c>
      <c r="F99" s="130"/>
      <c r="G99" s="147">
        <v>2</v>
      </c>
      <c r="H99" s="147"/>
      <c r="I99" s="56">
        <f t="shared" ref="I99:I100" si="18">TRUNC(PRODUCT(D99:G99)-H99,2)</f>
        <v>30.02</v>
      </c>
      <c r="J99" s="144"/>
    </row>
    <row r="100" spans="1:12">
      <c r="A100" s="55"/>
      <c r="B100" s="149" t="s">
        <v>271</v>
      </c>
      <c r="C100" s="3"/>
      <c r="D100" s="129">
        <v>36.44</v>
      </c>
      <c r="E100" s="130">
        <v>0.5</v>
      </c>
      <c r="F100" s="130"/>
      <c r="G100" s="147">
        <v>2</v>
      </c>
      <c r="H100" s="147"/>
      <c r="I100" s="56">
        <f t="shared" si="18"/>
        <v>36.44</v>
      </c>
      <c r="J100" s="144"/>
    </row>
    <row r="101" spans="1:12">
      <c r="A101" s="55"/>
      <c r="B101" s="149"/>
      <c r="C101" s="3"/>
      <c r="D101" s="129"/>
      <c r="E101" s="130"/>
      <c r="F101" s="130"/>
      <c r="G101" s="147"/>
      <c r="H101" s="147"/>
      <c r="I101" s="56"/>
      <c r="J101" s="144"/>
    </row>
    <row r="102" spans="1:12">
      <c r="A102" s="55"/>
      <c r="B102" s="151" t="s">
        <v>195</v>
      </c>
      <c r="C102" s="3"/>
      <c r="D102" s="129"/>
      <c r="E102" s="130"/>
      <c r="F102" s="130"/>
      <c r="G102" s="147"/>
      <c r="H102" s="147"/>
      <c r="I102" s="56"/>
      <c r="J102" s="144"/>
    </row>
    <row r="103" spans="1:12">
      <c r="A103" s="55"/>
      <c r="B103" s="4"/>
      <c r="C103" s="3"/>
      <c r="D103" s="129"/>
      <c r="E103" s="130"/>
      <c r="F103" s="130"/>
      <c r="G103" s="147"/>
      <c r="H103" s="147"/>
      <c r="I103" s="56"/>
      <c r="J103" s="144"/>
    </row>
    <row r="104" spans="1:12">
      <c r="A104" s="55"/>
      <c r="B104" s="149" t="s">
        <v>201</v>
      </c>
      <c r="C104" s="3"/>
      <c r="D104" s="129">
        <v>3.95</v>
      </c>
      <c r="E104" s="129"/>
      <c r="F104" s="129">
        <v>1.96</v>
      </c>
      <c r="G104" s="129">
        <v>20</v>
      </c>
      <c r="H104" s="147"/>
      <c r="I104" s="56">
        <f t="shared" ref="I104" si="19">TRUNC(PRODUCT(D104:G104)-H104,2)</f>
        <v>154.84</v>
      </c>
      <c r="J104" s="144"/>
    </row>
    <row r="105" spans="1:12">
      <c r="A105" s="261" t="s">
        <v>72</v>
      </c>
      <c r="B105" s="262"/>
      <c r="C105" s="262"/>
      <c r="D105" s="262"/>
      <c r="E105" s="262"/>
      <c r="F105" s="262"/>
      <c r="G105" s="262"/>
      <c r="H105" s="263"/>
      <c r="I105" s="150">
        <f>SUM(I97:I104)</f>
        <v>290.96000000000004</v>
      </c>
      <c r="J105" s="144"/>
    </row>
    <row r="106" spans="1:12" ht="66">
      <c r="A106" s="55" t="s">
        <v>17</v>
      </c>
      <c r="B106" s="2" t="s">
        <v>156</v>
      </c>
      <c r="C106" s="1" t="s">
        <v>2</v>
      </c>
      <c r="D106" s="129"/>
      <c r="E106" s="129"/>
      <c r="F106" s="129"/>
      <c r="G106" s="129"/>
      <c r="H106" s="129"/>
      <c r="I106" s="56">
        <f t="shared" si="16"/>
        <v>0</v>
      </c>
      <c r="L106" s="67"/>
    </row>
    <row r="107" spans="1:12">
      <c r="A107" s="55"/>
      <c r="B107" s="4"/>
      <c r="C107" s="3"/>
      <c r="D107" s="129"/>
      <c r="E107" s="130"/>
      <c r="F107" s="130"/>
      <c r="G107" s="147"/>
      <c r="H107" s="147"/>
      <c r="I107" s="56"/>
      <c r="J107" s="144"/>
    </row>
    <row r="108" spans="1:12">
      <c r="A108" s="55"/>
      <c r="B108" s="151" t="s">
        <v>194</v>
      </c>
      <c r="C108" s="3"/>
      <c r="D108" s="129"/>
      <c r="E108" s="130"/>
      <c r="F108" s="130"/>
      <c r="G108" s="147"/>
      <c r="H108" s="147"/>
      <c r="I108" s="56"/>
      <c r="J108" s="144"/>
    </row>
    <row r="109" spans="1:12">
      <c r="A109" s="55"/>
      <c r="B109" s="4"/>
      <c r="C109" s="3"/>
      <c r="D109" s="129"/>
      <c r="E109" s="130"/>
      <c r="F109" s="130"/>
      <c r="G109" s="147"/>
      <c r="H109" s="147"/>
      <c r="I109" s="56"/>
      <c r="J109" s="144"/>
    </row>
    <row r="110" spans="1:12">
      <c r="A110" s="55"/>
      <c r="B110" s="149" t="s">
        <v>270</v>
      </c>
      <c r="C110" s="3"/>
      <c r="D110" s="129">
        <v>31.62</v>
      </c>
      <c r="E110" s="130">
        <v>0.5</v>
      </c>
      <c r="F110" s="130"/>
      <c r="G110" s="147">
        <v>2</v>
      </c>
      <c r="H110" s="147"/>
      <c r="I110" s="56">
        <f t="shared" ref="I110:I113" si="20">TRUNC(PRODUCT(D110:G110)-H110,2)</f>
        <v>31.62</v>
      </c>
      <c r="J110" s="144"/>
    </row>
    <row r="111" spans="1:12">
      <c r="A111" s="55"/>
      <c r="B111" s="149" t="s">
        <v>270</v>
      </c>
      <c r="C111" s="3"/>
      <c r="D111" s="129">
        <v>38.04</v>
      </c>
      <c r="E111" s="130">
        <v>0.5</v>
      </c>
      <c r="F111" s="130"/>
      <c r="G111" s="147">
        <v>2</v>
      </c>
      <c r="H111" s="147"/>
      <c r="I111" s="56">
        <f t="shared" si="20"/>
        <v>38.04</v>
      </c>
      <c r="J111" s="144"/>
    </row>
    <row r="112" spans="1:12">
      <c r="A112" s="55"/>
      <c r="B112" s="149" t="s">
        <v>271</v>
      </c>
      <c r="C112" s="3"/>
      <c r="D112" s="129">
        <v>30.02</v>
      </c>
      <c r="E112" s="130">
        <v>0.5</v>
      </c>
      <c r="F112" s="130"/>
      <c r="G112" s="147">
        <v>2</v>
      </c>
      <c r="H112" s="147"/>
      <c r="I112" s="56">
        <f t="shared" si="20"/>
        <v>30.02</v>
      </c>
      <c r="J112" s="144"/>
    </row>
    <row r="113" spans="1:10">
      <c r="A113" s="55"/>
      <c r="B113" s="149" t="s">
        <v>271</v>
      </c>
      <c r="C113" s="3"/>
      <c r="D113" s="129">
        <v>36.44</v>
      </c>
      <c r="E113" s="130">
        <v>0.5</v>
      </c>
      <c r="F113" s="130"/>
      <c r="G113" s="147">
        <v>2</v>
      </c>
      <c r="H113" s="147"/>
      <c r="I113" s="56">
        <f t="shared" si="20"/>
        <v>36.44</v>
      </c>
      <c r="J113" s="144"/>
    </row>
    <row r="114" spans="1:10">
      <c r="A114" s="55"/>
      <c r="B114" s="149"/>
      <c r="C114" s="3"/>
      <c r="D114" s="129"/>
      <c r="E114" s="130"/>
      <c r="F114" s="130"/>
      <c r="G114" s="147"/>
      <c r="H114" s="147"/>
      <c r="I114" s="56"/>
      <c r="J114" s="144"/>
    </row>
    <row r="115" spans="1:10">
      <c r="A115" s="55"/>
      <c r="B115" s="151" t="s">
        <v>195</v>
      </c>
      <c r="C115" s="3"/>
      <c r="D115" s="129"/>
      <c r="E115" s="130"/>
      <c r="F115" s="130"/>
      <c r="G115" s="147"/>
      <c r="H115" s="147"/>
      <c r="I115" s="56"/>
      <c r="J115" s="144"/>
    </row>
    <row r="116" spans="1:10">
      <c r="A116" s="55"/>
      <c r="B116" s="4"/>
      <c r="C116" s="3"/>
      <c r="D116" s="129"/>
      <c r="E116" s="130"/>
      <c r="F116" s="130"/>
      <c r="G116" s="147"/>
      <c r="H116" s="147"/>
      <c r="I116" s="56"/>
      <c r="J116" s="144"/>
    </row>
    <row r="117" spans="1:10">
      <c r="A117" s="55"/>
      <c r="B117" s="149" t="s">
        <v>201</v>
      </c>
      <c r="C117" s="3"/>
      <c r="D117" s="129">
        <v>3.95</v>
      </c>
      <c r="E117" s="129"/>
      <c r="F117" s="129">
        <v>1.96</v>
      </c>
      <c r="G117" s="129">
        <v>20</v>
      </c>
      <c r="H117" s="147"/>
      <c r="I117" s="56">
        <f t="shared" ref="I117" si="21">TRUNC(PRODUCT(D117:G117)-H117,2)</f>
        <v>154.84</v>
      </c>
      <c r="J117" s="144"/>
    </row>
    <row r="118" spans="1:10">
      <c r="A118" s="261" t="s">
        <v>72</v>
      </c>
      <c r="B118" s="262"/>
      <c r="C118" s="262"/>
      <c r="D118" s="262"/>
      <c r="E118" s="262"/>
      <c r="F118" s="262"/>
      <c r="G118" s="262"/>
      <c r="H118" s="263"/>
      <c r="I118" s="150">
        <f>SUM(I108:I117)</f>
        <v>290.96000000000004</v>
      </c>
      <c r="J118" s="144"/>
    </row>
    <row r="119" spans="1:10" ht="13.8">
      <c r="A119" s="246"/>
      <c r="B119" s="247"/>
      <c r="C119" s="247"/>
      <c r="D119" s="247"/>
      <c r="E119" s="247"/>
      <c r="F119" s="247"/>
      <c r="G119" s="247"/>
      <c r="H119" s="247"/>
      <c r="I119" s="248"/>
    </row>
    <row r="120" spans="1:10" ht="16.5" customHeight="1">
      <c r="A120" s="260" t="s">
        <v>159</v>
      </c>
      <c r="B120" s="260"/>
      <c r="C120" s="260"/>
      <c r="D120" s="260"/>
      <c r="E120" s="260"/>
      <c r="F120" s="260"/>
      <c r="G120" s="260"/>
      <c r="H120" s="260"/>
      <c r="I120" s="260"/>
    </row>
    <row r="121" spans="1:10" ht="39.6">
      <c r="A121" s="55" t="s">
        <v>160</v>
      </c>
      <c r="B121" s="4" t="s">
        <v>109</v>
      </c>
      <c r="C121" s="3" t="s">
        <v>10</v>
      </c>
      <c r="D121" s="129">
        <v>25.7</v>
      </c>
      <c r="E121" s="130">
        <v>42.7</v>
      </c>
      <c r="F121" s="130">
        <v>0.08</v>
      </c>
      <c r="G121" s="147"/>
      <c r="H121" s="147"/>
      <c r="I121" s="56">
        <f t="shared" ref="I121:I122" si="22">TRUNC(PRODUCT(D121:G121)-H121,2)</f>
        <v>87.79</v>
      </c>
    </row>
    <row r="122" spans="1:10" ht="26.4">
      <c r="A122" s="55" t="s">
        <v>161</v>
      </c>
      <c r="B122" s="4" t="s">
        <v>203</v>
      </c>
      <c r="C122" s="3" t="s">
        <v>16</v>
      </c>
      <c r="D122" s="129">
        <v>20</v>
      </c>
      <c r="E122" s="130">
        <v>38</v>
      </c>
      <c r="F122" s="130"/>
      <c r="G122" s="147">
        <v>0.8</v>
      </c>
      <c r="H122" s="147"/>
      <c r="I122" s="56">
        <f t="shared" si="22"/>
        <v>608</v>
      </c>
    </row>
    <row r="123" spans="1:10" ht="26.4">
      <c r="A123" s="55" t="s">
        <v>167</v>
      </c>
      <c r="B123" s="4" t="s">
        <v>157</v>
      </c>
      <c r="C123" s="3" t="s">
        <v>2</v>
      </c>
      <c r="D123" s="145">
        <v>20</v>
      </c>
      <c r="E123" s="146">
        <v>38</v>
      </c>
      <c r="F123" s="130"/>
      <c r="G123" s="147"/>
      <c r="H123" s="147"/>
      <c r="I123" s="56">
        <f t="shared" ref="I123:I125" si="23">TRUNC(PRODUCT(D123:G123)-H123,2)</f>
        <v>760</v>
      </c>
    </row>
    <row r="124" spans="1:10" ht="26.4">
      <c r="A124" s="55" t="s">
        <v>168</v>
      </c>
      <c r="B124" s="4" t="s">
        <v>280</v>
      </c>
      <c r="C124" s="3" t="s">
        <v>1</v>
      </c>
      <c r="D124" s="129">
        <f>(20*(38/2.5))+(38*(20/2.5))</f>
        <v>608</v>
      </c>
      <c r="E124" s="130"/>
      <c r="F124" s="130"/>
      <c r="G124" s="147"/>
      <c r="H124" s="147"/>
      <c r="I124" s="56">
        <f t="shared" si="23"/>
        <v>608</v>
      </c>
    </row>
    <row r="125" spans="1:10" ht="26.4">
      <c r="A125" s="55" t="s">
        <v>169</v>
      </c>
      <c r="B125" s="4" t="s">
        <v>162</v>
      </c>
      <c r="C125" s="3" t="s">
        <v>1</v>
      </c>
      <c r="D125" s="129">
        <f>(20*(38/2.5))+(38*(20/2.5))</f>
        <v>608</v>
      </c>
      <c r="E125" s="130"/>
      <c r="F125" s="130"/>
      <c r="G125" s="147"/>
      <c r="H125" s="147"/>
      <c r="I125" s="56">
        <f t="shared" si="23"/>
        <v>608</v>
      </c>
    </row>
    <row r="126" spans="1:10" ht="66">
      <c r="A126" s="55" t="s">
        <v>202</v>
      </c>
      <c r="B126" s="4" t="s">
        <v>183</v>
      </c>
      <c r="C126" s="3" t="s">
        <v>1</v>
      </c>
      <c r="D126" s="129">
        <f>42.7+42.7+25.7+25.7</f>
        <v>136.80000000000001</v>
      </c>
      <c r="E126" s="130"/>
      <c r="F126" s="130"/>
      <c r="G126" s="147"/>
      <c r="H126" s="147"/>
      <c r="I126" s="56">
        <f t="shared" ref="I126" si="24">TRUNC(PRODUCT(D126:G126)-H126,2)</f>
        <v>136.80000000000001</v>
      </c>
    </row>
    <row r="127" spans="1:10" ht="13.8">
      <c r="A127" s="246"/>
      <c r="B127" s="247"/>
      <c r="C127" s="247"/>
      <c r="D127" s="247"/>
      <c r="E127" s="247"/>
      <c r="F127" s="247"/>
      <c r="G127" s="247"/>
      <c r="H127" s="247"/>
      <c r="I127" s="248"/>
    </row>
    <row r="128" spans="1:10" ht="16.5" customHeight="1">
      <c r="A128" s="260" t="s">
        <v>254</v>
      </c>
      <c r="B128" s="260"/>
      <c r="C128" s="260"/>
      <c r="D128" s="260"/>
      <c r="E128" s="260"/>
      <c r="F128" s="260"/>
      <c r="G128" s="260"/>
      <c r="H128" s="260"/>
      <c r="I128" s="260"/>
    </row>
    <row r="129" spans="1:9" ht="39.6">
      <c r="A129" s="55" t="s">
        <v>170</v>
      </c>
      <c r="B129" s="4" t="s">
        <v>345</v>
      </c>
      <c r="C129" s="3" t="s">
        <v>16</v>
      </c>
      <c r="D129" s="129"/>
      <c r="E129" s="130"/>
      <c r="F129" s="130"/>
      <c r="G129" s="147">
        <v>25492.71</v>
      </c>
      <c r="H129" s="147"/>
      <c r="I129" s="56">
        <f t="shared" ref="I129:I144" si="25">TRUNC(PRODUCT(D129:G129)-H129,2)</f>
        <v>25492.71</v>
      </c>
    </row>
    <row r="130" spans="1:9" ht="26.4">
      <c r="A130" s="55" t="s">
        <v>171</v>
      </c>
      <c r="B130" s="4" t="s">
        <v>327</v>
      </c>
      <c r="C130" s="3" t="s">
        <v>16</v>
      </c>
      <c r="D130" s="147">
        <v>25492.71</v>
      </c>
      <c r="E130" s="130"/>
      <c r="F130" s="130"/>
      <c r="G130" s="211">
        <v>1.8177E-3</v>
      </c>
      <c r="H130" s="147"/>
      <c r="I130" s="56">
        <f>D130*G130</f>
        <v>46.338098967000001</v>
      </c>
    </row>
    <row r="131" spans="1:9" ht="52.8">
      <c r="A131" s="255"/>
      <c r="B131" s="256"/>
      <c r="C131" s="256"/>
      <c r="D131" s="256"/>
      <c r="E131" s="256"/>
      <c r="F131" s="257"/>
      <c r="G131" s="212" t="s">
        <v>344</v>
      </c>
      <c r="H131" s="258"/>
      <c r="I131" s="259"/>
    </row>
    <row r="132" spans="1:9" ht="26.4">
      <c r="A132" s="55" t="s">
        <v>172</v>
      </c>
      <c r="B132" s="4" t="s">
        <v>328</v>
      </c>
      <c r="C132" s="3" t="s">
        <v>16</v>
      </c>
      <c r="D132" s="147">
        <v>25492.71</v>
      </c>
      <c r="E132" s="146"/>
      <c r="F132" s="130"/>
      <c r="G132" s="211">
        <v>6.4238999999999997E-3</v>
      </c>
      <c r="H132" s="147"/>
      <c r="I132" s="56">
        <f t="shared" ref="I132:I138" si="26">TRUNC(PRODUCT(D132:G132)-H132,2)</f>
        <v>163.76</v>
      </c>
    </row>
    <row r="133" spans="1:9" ht="52.8">
      <c r="A133" s="255"/>
      <c r="B133" s="256"/>
      <c r="C133" s="256"/>
      <c r="D133" s="256"/>
      <c r="E133" s="256"/>
      <c r="F133" s="257"/>
      <c r="G133" s="212" t="s">
        <v>344</v>
      </c>
      <c r="H133" s="258"/>
      <c r="I133" s="259"/>
    </row>
    <row r="134" spans="1:9" ht="26.4">
      <c r="A134" s="55" t="s">
        <v>173</v>
      </c>
      <c r="B134" s="4" t="s">
        <v>329</v>
      </c>
      <c r="C134" s="3" t="s">
        <v>16</v>
      </c>
      <c r="D134" s="147">
        <v>25492.71</v>
      </c>
      <c r="E134" s="130"/>
      <c r="F134" s="130"/>
      <c r="G134" s="211">
        <v>0.51673250000000004</v>
      </c>
      <c r="H134" s="147"/>
      <c r="I134" s="56">
        <f t="shared" si="26"/>
        <v>13172.91</v>
      </c>
    </row>
    <row r="135" spans="1:9" ht="52.8">
      <c r="A135" s="255"/>
      <c r="B135" s="256"/>
      <c r="C135" s="256"/>
      <c r="D135" s="256"/>
      <c r="E135" s="256"/>
      <c r="F135" s="257"/>
      <c r="G135" s="212" t="s">
        <v>344</v>
      </c>
      <c r="H135" s="258"/>
      <c r="I135" s="259"/>
    </row>
    <row r="136" spans="1:9">
      <c r="A136" s="55" t="s">
        <v>226</v>
      </c>
      <c r="B136" s="4" t="s">
        <v>330</v>
      </c>
      <c r="C136" s="3" t="s">
        <v>16</v>
      </c>
      <c r="D136" s="147">
        <v>25492.71</v>
      </c>
      <c r="E136" s="130"/>
      <c r="F136" s="130"/>
      <c r="G136" s="211">
        <v>0.56602569999999996</v>
      </c>
      <c r="H136" s="147"/>
      <c r="I136" s="56">
        <f t="shared" si="26"/>
        <v>14429.52</v>
      </c>
    </row>
    <row r="137" spans="1:9" ht="52.8">
      <c r="A137" s="255"/>
      <c r="B137" s="256"/>
      <c r="C137" s="256"/>
      <c r="D137" s="256"/>
      <c r="E137" s="256"/>
      <c r="F137" s="257"/>
      <c r="G137" s="212" t="s">
        <v>344</v>
      </c>
      <c r="H137" s="258"/>
      <c r="I137" s="259"/>
    </row>
    <row r="138" spans="1:9" ht="26.4">
      <c r="A138" s="55" t="s">
        <v>227</v>
      </c>
      <c r="B138" s="4" t="s">
        <v>331</v>
      </c>
      <c r="C138" s="3" t="s">
        <v>16</v>
      </c>
      <c r="D138" s="147">
        <v>25492.71</v>
      </c>
      <c r="E138" s="130"/>
      <c r="F138" s="130"/>
      <c r="G138" s="211">
        <v>1.8E-3</v>
      </c>
      <c r="H138" s="147"/>
      <c r="I138" s="56">
        <f t="shared" si="26"/>
        <v>45.88</v>
      </c>
    </row>
    <row r="139" spans="1:9" ht="52.8">
      <c r="A139" s="255"/>
      <c r="B139" s="256"/>
      <c r="C139" s="256"/>
      <c r="D139" s="256"/>
      <c r="E139" s="256"/>
      <c r="F139" s="257"/>
      <c r="G139" s="212" t="s">
        <v>344</v>
      </c>
      <c r="H139" s="258"/>
      <c r="I139" s="259"/>
    </row>
    <row r="140" spans="1:9" ht="26.4">
      <c r="A140" s="55" t="s">
        <v>228</v>
      </c>
      <c r="B140" s="4" t="s">
        <v>223</v>
      </c>
      <c r="C140" s="3" t="s">
        <v>2</v>
      </c>
      <c r="D140" s="129"/>
      <c r="E140" s="130"/>
      <c r="F140" s="130"/>
      <c r="G140" s="147">
        <f>(42.7*25.7)+(42.7*8)+(25.7*8)</f>
        <v>1644.5900000000001</v>
      </c>
      <c r="H140" s="147"/>
      <c r="I140" s="56">
        <f t="shared" si="25"/>
        <v>1644.59</v>
      </c>
    </row>
    <row r="141" spans="1:9" ht="39.6">
      <c r="A141" s="55" t="s">
        <v>229</v>
      </c>
      <c r="B141" s="4" t="s">
        <v>224</v>
      </c>
      <c r="C141" s="3" t="s">
        <v>1</v>
      </c>
      <c r="D141" s="145">
        <v>42.7</v>
      </c>
      <c r="E141" s="146"/>
      <c r="F141" s="130"/>
      <c r="G141" s="147">
        <v>2</v>
      </c>
      <c r="H141" s="147"/>
      <c r="I141" s="56">
        <f t="shared" si="25"/>
        <v>85.4</v>
      </c>
    </row>
    <row r="142" spans="1:9">
      <c r="A142" s="55" t="s">
        <v>230</v>
      </c>
      <c r="B142" s="4" t="s">
        <v>225</v>
      </c>
      <c r="C142" s="3" t="s">
        <v>1</v>
      </c>
      <c r="D142" s="129">
        <v>42.7</v>
      </c>
      <c r="E142" s="130"/>
      <c r="F142" s="130"/>
      <c r="G142" s="147"/>
      <c r="H142" s="147"/>
      <c r="I142" s="56">
        <f t="shared" si="25"/>
        <v>42.7</v>
      </c>
    </row>
    <row r="143" spans="1:9" ht="39.6">
      <c r="A143" s="55" t="s">
        <v>231</v>
      </c>
      <c r="B143" s="4" t="s">
        <v>233</v>
      </c>
      <c r="C143" s="3" t="s">
        <v>1</v>
      </c>
      <c r="D143" s="129">
        <v>10</v>
      </c>
      <c r="E143" s="130"/>
      <c r="F143" s="130"/>
      <c r="G143" s="147">
        <v>4</v>
      </c>
      <c r="H143" s="147"/>
      <c r="I143" s="56">
        <f t="shared" si="25"/>
        <v>40</v>
      </c>
    </row>
    <row r="144" spans="1:9" ht="39.6">
      <c r="A144" s="55" t="s">
        <v>232</v>
      </c>
      <c r="B144" s="4" t="s">
        <v>234</v>
      </c>
      <c r="C144" s="3" t="s">
        <v>1</v>
      </c>
      <c r="D144" s="129">
        <v>25</v>
      </c>
      <c r="E144" s="130"/>
      <c r="F144" s="130"/>
      <c r="G144" s="147"/>
      <c r="H144" s="147"/>
      <c r="I144" s="56">
        <f t="shared" si="25"/>
        <v>25</v>
      </c>
    </row>
    <row r="145" spans="1:10" ht="26.4">
      <c r="A145" s="55" t="s">
        <v>322</v>
      </c>
      <c r="B145" s="4" t="s">
        <v>239</v>
      </c>
      <c r="C145" s="3" t="s">
        <v>1</v>
      </c>
      <c r="D145" s="129">
        <v>50</v>
      </c>
      <c r="E145" s="130"/>
      <c r="F145" s="130"/>
      <c r="G145" s="147"/>
      <c r="H145" s="147"/>
      <c r="I145" s="56">
        <f t="shared" ref="I145:I149" si="27">TRUNC(PRODUCT(D145:G145)-H145,2)</f>
        <v>50</v>
      </c>
    </row>
    <row r="146" spans="1:10" ht="52.8">
      <c r="A146" s="55" t="s">
        <v>323</v>
      </c>
      <c r="B146" s="4" t="s">
        <v>235</v>
      </c>
      <c r="C146" s="3" t="s">
        <v>103</v>
      </c>
      <c r="D146" s="145"/>
      <c r="E146" s="146"/>
      <c r="F146" s="130"/>
      <c r="G146" s="147">
        <v>12</v>
      </c>
      <c r="H146" s="147"/>
      <c r="I146" s="56">
        <f t="shared" si="27"/>
        <v>12</v>
      </c>
    </row>
    <row r="147" spans="1:10" ht="52.8">
      <c r="A147" s="55" t="s">
        <v>324</v>
      </c>
      <c r="B147" s="4" t="s">
        <v>236</v>
      </c>
      <c r="C147" s="3" t="s">
        <v>103</v>
      </c>
      <c r="D147" s="129"/>
      <c r="E147" s="130"/>
      <c r="F147" s="130"/>
      <c r="G147" s="147">
        <v>12</v>
      </c>
      <c r="H147" s="147"/>
      <c r="I147" s="56">
        <f t="shared" si="27"/>
        <v>12</v>
      </c>
    </row>
    <row r="148" spans="1:10" ht="39.6">
      <c r="A148" s="55" t="s">
        <v>325</v>
      </c>
      <c r="B148" s="4" t="s">
        <v>237</v>
      </c>
      <c r="C148" s="3" t="s">
        <v>103</v>
      </c>
      <c r="D148" s="129"/>
      <c r="E148" s="130"/>
      <c r="F148" s="130"/>
      <c r="G148" s="147">
        <v>3</v>
      </c>
      <c r="H148" s="147"/>
      <c r="I148" s="56">
        <f t="shared" si="27"/>
        <v>3</v>
      </c>
    </row>
    <row r="149" spans="1:10" ht="39.6">
      <c r="A149" s="55" t="s">
        <v>326</v>
      </c>
      <c r="B149" s="4" t="s">
        <v>238</v>
      </c>
      <c r="C149" s="3" t="s">
        <v>103</v>
      </c>
      <c r="D149" s="129"/>
      <c r="E149" s="130"/>
      <c r="F149" s="130"/>
      <c r="G149" s="147">
        <v>10</v>
      </c>
      <c r="H149" s="147"/>
      <c r="I149" s="56">
        <f t="shared" si="27"/>
        <v>10</v>
      </c>
    </row>
    <row r="150" spans="1:10" ht="13.8">
      <c r="A150" s="246"/>
      <c r="B150" s="247"/>
      <c r="C150" s="247"/>
      <c r="D150" s="247"/>
      <c r="E150" s="247"/>
      <c r="F150" s="247"/>
      <c r="G150" s="247"/>
      <c r="H150" s="247"/>
      <c r="I150" s="248"/>
    </row>
    <row r="151" spans="1:10" ht="16.5" customHeight="1">
      <c r="A151" s="260" t="s">
        <v>240</v>
      </c>
      <c r="B151" s="260"/>
      <c r="C151" s="260"/>
      <c r="D151" s="260"/>
      <c r="E151" s="260"/>
      <c r="F151" s="260"/>
      <c r="G151" s="260"/>
      <c r="H151" s="260"/>
      <c r="I151" s="260"/>
    </row>
    <row r="152" spans="1:10" ht="26.4">
      <c r="A152" s="55" t="s">
        <v>174</v>
      </c>
      <c r="B152" s="4" t="s">
        <v>163</v>
      </c>
      <c r="C152" s="3" t="s">
        <v>2</v>
      </c>
      <c r="D152" s="129"/>
      <c r="E152" s="130"/>
      <c r="F152" s="130"/>
      <c r="G152" s="147"/>
      <c r="H152" s="147"/>
      <c r="I152" s="56"/>
    </row>
    <row r="153" spans="1:10">
      <c r="A153" s="55"/>
      <c r="B153" s="4"/>
      <c r="C153" s="3"/>
      <c r="D153" s="129"/>
      <c r="E153" s="130"/>
      <c r="F153" s="130"/>
      <c r="G153" s="147"/>
      <c r="H153" s="147"/>
      <c r="I153" s="56"/>
    </row>
    <row r="154" spans="1:10">
      <c r="A154" s="55"/>
      <c r="B154" s="151" t="s">
        <v>194</v>
      </c>
      <c r="C154" s="3"/>
      <c r="D154" s="129"/>
      <c r="E154" s="130"/>
      <c r="F154" s="130"/>
      <c r="G154" s="147"/>
      <c r="H154" s="147"/>
      <c r="I154" s="56"/>
      <c r="J154" s="144"/>
    </row>
    <row r="155" spans="1:10">
      <c r="A155" s="55"/>
      <c r="B155" s="4"/>
      <c r="C155" s="3"/>
      <c r="D155" s="129"/>
      <c r="E155" s="130"/>
      <c r="F155" s="130"/>
      <c r="G155" s="147"/>
      <c r="H155" s="147"/>
      <c r="I155" s="56"/>
      <c r="J155" s="144"/>
    </row>
    <row r="156" spans="1:10">
      <c r="A156" s="55"/>
      <c r="B156" s="149" t="s">
        <v>270</v>
      </c>
      <c r="C156" s="3"/>
      <c r="D156" s="129">
        <v>31.62</v>
      </c>
      <c r="E156" s="130">
        <v>0.5</v>
      </c>
      <c r="F156" s="130"/>
      <c r="G156" s="147">
        <v>2</v>
      </c>
      <c r="H156" s="147"/>
      <c r="I156" s="56">
        <f t="shared" ref="I156:I159" si="28">TRUNC(PRODUCT(D156:G156)-H156,2)</f>
        <v>31.62</v>
      </c>
      <c r="J156" s="144"/>
    </row>
    <row r="157" spans="1:10">
      <c r="A157" s="55"/>
      <c r="B157" s="149" t="s">
        <v>270</v>
      </c>
      <c r="C157" s="3"/>
      <c r="D157" s="129">
        <v>38.04</v>
      </c>
      <c r="E157" s="130">
        <v>0.5</v>
      </c>
      <c r="F157" s="130"/>
      <c r="G157" s="147">
        <v>2</v>
      </c>
      <c r="H157" s="147"/>
      <c r="I157" s="56">
        <f t="shared" si="28"/>
        <v>38.04</v>
      </c>
      <c r="J157" s="144"/>
    </row>
    <row r="158" spans="1:10">
      <c r="A158" s="55"/>
      <c r="B158" s="149" t="s">
        <v>271</v>
      </c>
      <c r="C158" s="3"/>
      <c r="D158" s="129">
        <v>30.02</v>
      </c>
      <c r="E158" s="130">
        <v>0.5</v>
      </c>
      <c r="F158" s="130"/>
      <c r="G158" s="147">
        <v>2</v>
      </c>
      <c r="H158" s="147"/>
      <c r="I158" s="56">
        <f t="shared" si="28"/>
        <v>30.02</v>
      </c>
      <c r="J158" s="144"/>
    </row>
    <row r="159" spans="1:10">
      <c r="A159" s="55"/>
      <c r="B159" s="149" t="s">
        <v>271</v>
      </c>
      <c r="C159" s="3"/>
      <c r="D159" s="129">
        <v>36.44</v>
      </c>
      <c r="E159" s="130">
        <v>0.5</v>
      </c>
      <c r="F159" s="130"/>
      <c r="G159" s="147">
        <v>2</v>
      </c>
      <c r="H159" s="147"/>
      <c r="I159" s="56">
        <f t="shared" si="28"/>
        <v>36.44</v>
      </c>
      <c r="J159" s="144"/>
    </row>
    <row r="160" spans="1:10">
      <c r="A160" s="55"/>
      <c r="B160" s="149"/>
      <c r="C160" s="3"/>
      <c r="D160" s="129"/>
      <c r="E160" s="130"/>
      <c r="F160" s="130"/>
      <c r="G160" s="147"/>
      <c r="H160" s="147"/>
      <c r="I160" s="56"/>
      <c r="J160" s="144"/>
    </row>
    <row r="161" spans="1:10">
      <c r="A161" s="55"/>
      <c r="B161" s="151" t="s">
        <v>195</v>
      </c>
      <c r="C161" s="3"/>
      <c r="D161" s="129"/>
      <c r="E161" s="130"/>
      <c r="F161" s="130"/>
      <c r="G161" s="147"/>
      <c r="H161" s="147"/>
      <c r="I161" s="56"/>
      <c r="J161" s="144"/>
    </row>
    <row r="162" spans="1:10">
      <c r="A162" s="55"/>
      <c r="B162" s="4"/>
      <c r="C162" s="3"/>
      <c r="D162" s="129"/>
      <c r="E162" s="130"/>
      <c r="F162" s="130"/>
      <c r="G162" s="147"/>
      <c r="H162" s="147"/>
      <c r="I162" s="56"/>
      <c r="J162" s="144"/>
    </row>
    <row r="163" spans="1:10">
      <c r="A163" s="55"/>
      <c r="B163" s="149" t="s">
        <v>201</v>
      </c>
      <c r="C163" s="3"/>
      <c r="D163" s="129">
        <v>3.95</v>
      </c>
      <c r="E163" s="129"/>
      <c r="F163" s="129">
        <v>1.96</v>
      </c>
      <c r="G163" s="129">
        <v>20</v>
      </c>
      <c r="H163" s="147"/>
      <c r="I163" s="56">
        <f t="shared" ref="I163" si="29">TRUNC(PRODUCT(D163:G163)-H163,2)</f>
        <v>154.84</v>
      </c>
      <c r="J163" s="144"/>
    </row>
    <row r="164" spans="1:10">
      <c r="A164" s="261" t="s">
        <v>72</v>
      </c>
      <c r="B164" s="262"/>
      <c r="C164" s="262"/>
      <c r="D164" s="262"/>
      <c r="E164" s="262"/>
      <c r="F164" s="262"/>
      <c r="G164" s="262"/>
      <c r="H164" s="263"/>
      <c r="I164" s="150">
        <f>SUM(I156:I163)</f>
        <v>290.96000000000004</v>
      </c>
      <c r="J164" s="144"/>
    </row>
    <row r="165" spans="1:10" ht="39.6">
      <c r="A165" s="55" t="s">
        <v>175</v>
      </c>
      <c r="B165" s="4" t="s">
        <v>100</v>
      </c>
      <c r="C165" s="3" t="s">
        <v>2</v>
      </c>
      <c r="D165" s="129">
        <v>20</v>
      </c>
      <c r="E165" s="130">
        <v>38</v>
      </c>
      <c r="F165" s="130">
        <v>0.08</v>
      </c>
      <c r="G165" s="147"/>
      <c r="H165" s="147"/>
      <c r="I165" s="56">
        <f t="shared" ref="I165:I178" si="30">TRUNC(PRODUCT(D165:G165)-H165,2)</f>
        <v>60.8</v>
      </c>
    </row>
    <row r="166" spans="1:10">
      <c r="A166" s="55"/>
      <c r="B166" s="4"/>
      <c r="C166" s="3"/>
      <c r="D166" s="129"/>
      <c r="E166" s="130"/>
      <c r="F166" s="130"/>
      <c r="G166" s="147"/>
      <c r="H166" s="147"/>
      <c r="I166" s="56"/>
    </row>
    <row r="167" spans="1:10">
      <c r="A167" s="55"/>
      <c r="B167" s="151" t="s">
        <v>194</v>
      </c>
      <c r="C167" s="3"/>
      <c r="D167" s="129"/>
      <c r="E167" s="130"/>
      <c r="F167" s="130"/>
      <c r="G167" s="147"/>
      <c r="H167" s="147"/>
      <c r="I167" s="56"/>
      <c r="J167" s="144"/>
    </row>
    <row r="168" spans="1:10">
      <c r="A168" s="55"/>
      <c r="B168" s="4"/>
      <c r="C168" s="3"/>
      <c r="D168" s="129"/>
      <c r="E168" s="130"/>
      <c r="F168" s="130"/>
      <c r="G168" s="147"/>
      <c r="H168" s="147"/>
      <c r="I168" s="56"/>
      <c r="J168" s="144"/>
    </row>
    <row r="169" spans="1:10">
      <c r="A169" s="55"/>
      <c r="B169" s="149" t="s">
        <v>270</v>
      </c>
      <c r="C169" s="3"/>
      <c r="D169" s="129">
        <v>31.62</v>
      </c>
      <c r="E169" s="130">
        <v>0.5</v>
      </c>
      <c r="F169" s="130"/>
      <c r="G169" s="147">
        <v>2</v>
      </c>
      <c r="H169" s="147"/>
      <c r="I169" s="56">
        <f t="shared" ref="I169:I172" si="31">TRUNC(PRODUCT(D169:G169)-H169,2)</f>
        <v>31.62</v>
      </c>
      <c r="J169" s="144"/>
    </row>
    <row r="170" spans="1:10">
      <c r="A170" s="55"/>
      <c r="B170" s="149" t="s">
        <v>270</v>
      </c>
      <c r="C170" s="3"/>
      <c r="D170" s="129">
        <v>38.04</v>
      </c>
      <c r="E170" s="130">
        <v>0.5</v>
      </c>
      <c r="F170" s="130"/>
      <c r="G170" s="147">
        <v>2</v>
      </c>
      <c r="H170" s="147"/>
      <c r="I170" s="56">
        <f t="shared" si="31"/>
        <v>38.04</v>
      </c>
      <c r="J170" s="144"/>
    </row>
    <row r="171" spans="1:10">
      <c r="A171" s="55"/>
      <c r="B171" s="149" t="s">
        <v>271</v>
      </c>
      <c r="C171" s="3"/>
      <c r="D171" s="129">
        <v>30.02</v>
      </c>
      <c r="E171" s="130">
        <v>0.5</v>
      </c>
      <c r="F171" s="130"/>
      <c r="G171" s="147">
        <v>2</v>
      </c>
      <c r="H171" s="147"/>
      <c r="I171" s="56">
        <f t="shared" si="31"/>
        <v>30.02</v>
      </c>
      <c r="J171" s="144"/>
    </row>
    <row r="172" spans="1:10">
      <c r="A172" s="55"/>
      <c r="B172" s="149" t="s">
        <v>271</v>
      </c>
      <c r="C172" s="3"/>
      <c r="D172" s="129">
        <v>36.44</v>
      </c>
      <c r="E172" s="130">
        <v>0.5</v>
      </c>
      <c r="F172" s="130"/>
      <c r="G172" s="147">
        <v>2</v>
      </c>
      <c r="H172" s="147"/>
      <c r="I172" s="56">
        <f t="shared" si="31"/>
        <v>36.44</v>
      </c>
      <c r="J172" s="144"/>
    </row>
    <row r="173" spans="1:10">
      <c r="A173" s="55"/>
      <c r="B173" s="149"/>
      <c r="C173" s="3"/>
      <c r="D173" s="129"/>
      <c r="E173" s="130"/>
      <c r="F173" s="130"/>
      <c r="G173" s="147"/>
      <c r="H173" s="147"/>
      <c r="I173" s="56"/>
      <c r="J173" s="144"/>
    </row>
    <row r="174" spans="1:10">
      <c r="A174" s="55"/>
      <c r="B174" s="151" t="s">
        <v>195</v>
      </c>
      <c r="C174" s="3"/>
      <c r="D174" s="129"/>
      <c r="E174" s="130"/>
      <c r="F174" s="130"/>
      <c r="G174" s="147"/>
      <c r="H174" s="147"/>
      <c r="I174" s="56"/>
      <c r="J174" s="144"/>
    </row>
    <row r="175" spans="1:10">
      <c r="A175" s="55"/>
      <c r="B175" s="4"/>
      <c r="C175" s="3"/>
      <c r="D175" s="129"/>
      <c r="E175" s="130"/>
      <c r="F175" s="130"/>
      <c r="G175" s="147"/>
      <c r="H175" s="147"/>
      <c r="I175" s="56"/>
      <c r="J175" s="144"/>
    </row>
    <row r="176" spans="1:10">
      <c r="A176" s="55"/>
      <c r="B176" s="149" t="s">
        <v>201</v>
      </c>
      <c r="C176" s="3"/>
      <c r="D176" s="129">
        <v>3.95</v>
      </c>
      <c r="E176" s="129"/>
      <c r="F176" s="129">
        <v>1.96</v>
      </c>
      <c r="G176" s="129">
        <v>20</v>
      </c>
      <c r="H176" s="147"/>
      <c r="I176" s="56">
        <f t="shared" ref="I176" si="32">TRUNC(PRODUCT(D176:G176)-H176,2)</f>
        <v>154.84</v>
      </c>
      <c r="J176" s="144"/>
    </row>
    <row r="177" spans="1:10">
      <c r="A177" s="261" t="s">
        <v>72</v>
      </c>
      <c r="B177" s="262"/>
      <c r="C177" s="262"/>
      <c r="D177" s="262"/>
      <c r="E177" s="262"/>
      <c r="F177" s="262"/>
      <c r="G177" s="262"/>
      <c r="H177" s="263"/>
      <c r="I177" s="150">
        <f>SUM(I169:I176)</f>
        <v>290.96000000000004</v>
      </c>
      <c r="J177" s="144"/>
    </row>
    <row r="178" spans="1:10" ht="39.6">
      <c r="A178" s="55" t="s">
        <v>176</v>
      </c>
      <c r="B178" s="141" t="s">
        <v>204</v>
      </c>
      <c r="C178" s="3" t="s">
        <v>2</v>
      </c>
      <c r="D178" s="129">
        <f>36+36+18+18+18+32+60+18.84+(5.64*4)+1.4+1.4+3.05+3.05</f>
        <v>268.29999999999995</v>
      </c>
      <c r="E178" s="130">
        <v>0.1</v>
      </c>
      <c r="F178" s="130"/>
      <c r="G178" s="147"/>
      <c r="H178" s="147"/>
      <c r="I178" s="56">
        <f t="shared" si="30"/>
        <v>26.83</v>
      </c>
    </row>
    <row r="179" spans="1:10" ht="39.6">
      <c r="A179" s="55" t="s">
        <v>177</v>
      </c>
      <c r="B179" s="4" t="s">
        <v>164</v>
      </c>
      <c r="C179" s="3" t="s">
        <v>2</v>
      </c>
      <c r="D179" s="145"/>
      <c r="E179" s="146"/>
      <c r="F179" s="130"/>
      <c r="G179" s="147"/>
      <c r="H179" s="147"/>
      <c r="I179" s="56"/>
    </row>
    <row r="180" spans="1:10">
      <c r="A180" s="143"/>
      <c r="B180" s="152"/>
      <c r="C180" s="143"/>
      <c r="D180" s="56"/>
      <c r="E180" s="143"/>
      <c r="F180" s="143"/>
      <c r="G180" s="143"/>
      <c r="H180" s="143"/>
      <c r="I180" s="143"/>
    </row>
    <row r="181" spans="1:10">
      <c r="A181" s="55"/>
      <c r="B181" s="151" t="s">
        <v>205</v>
      </c>
      <c r="C181" s="3"/>
      <c r="D181" s="129"/>
      <c r="E181" s="130"/>
      <c r="F181" s="130"/>
      <c r="G181" s="147"/>
      <c r="H181" s="147"/>
      <c r="I181" s="56"/>
      <c r="J181" s="144"/>
    </row>
    <row r="182" spans="1:10">
      <c r="A182" s="55"/>
      <c r="B182" s="4"/>
      <c r="C182" s="3"/>
      <c r="D182" s="129"/>
      <c r="E182" s="130"/>
      <c r="F182" s="130"/>
      <c r="G182" s="147"/>
      <c r="H182" s="147"/>
      <c r="I182" s="56"/>
      <c r="J182" s="144"/>
    </row>
    <row r="183" spans="1:10">
      <c r="A183" s="55"/>
      <c r="B183" s="149" t="s">
        <v>206</v>
      </c>
      <c r="C183" s="3"/>
      <c r="D183" s="129">
        <f>36+2.4</f>
        <v>38.4</v>
      </c>
      <c r="E183" s="130"/>
      <c r="F183" s="130">
        <v>1.8</v>
      </c>
      <c r="G183" s="147">
        <v>2</v>
      </c>
      <c r="H183" s="147"/>
      <c r="I183" s="56">
        <f t="shared" ref="I183" si="33">TRUNC(PRODUCT(D183:G183)-H183,2)</f>
        <v>138.24</v>
      </c>
      <c r="J183" s="144"/>
    </row>
    <row r="184" spans="1:10">
      <c r="A184" s="261" t="s">
        <v>72</v>
      </c>
      <c r="B184" s="262"/>
      <c r="C184" s="262"/>
      <c r="D184" s="262"/>
      <c r="E184" s="262"/>
      <c r="F184" s="262"/>
      <c r="G184" s="262"/>
      <c r="H184" s="263"/>
      <c r="I184" s="150">
        <f>SUM(I183:I183)</f>
        <v>138.24</v>
      </c>
      <c r="J184" s="144"/>
    </row>
    <row r="185" spans="1:10" ht="13.8">
      <c r="A185" s="246"/>
      <c r="B185" s="247"/>
      <c r="C185" s="247"/>
      <c r="D185" s="247"/>
      <c r="E185" s="247"/>
      <c r="F185" s="247"/>
      <c r="G185" s="247"/>
      <c r="H185" s="247"/>
      <c r="I185" s="248"/>
    </row>
    <row r="186" spans="1:10" ht="16.5" customHeight="1">
      <c r="A186" s="260" t="s">
        <v>241</v>
      </c>
      <c r="B186" s="260"/>
      <c r="C186" s="260"/>
      <c r="D186" s="260"/>
      <c r="E186" s="260"/>
      <c r="F186" s="260"/>
      <c r="G186" s="260"/>
      <c r="H186" s="260"/>
      <c r="I186" s="260"/>
    </row>
    <row r="187" spans="1:10" ht="66">
      <c r="A187" s="55" t="s">
        <v>178</v>
      </c>
      <c r="B187" s="4" t="s">
        <v>165</v>
      </c>
      <c r="C187" s="3" t="s">
        <v>2</v>
      </c>
      <c r="D187" s="129"/>
      <c r="E187" s="130"/>
      <c r="F187" s="130"/>
      <c r="G187" s="147"/>
      <c r="H187" s="147"/>
      <c r="I187" s="56"/>
    </row>
    <row r="188" spans="1:10">
      <c r="A188" s="143"/>
      <c r="B188" s="152"/>
      <c r="C188" s="143"/>
      <c r="D188" s="56"/>
      <c r="E188" s="143"/>
      <c r="F188" s="143"/>
      <c r="G188" s="143"/>
      <c r="H188" s="143"/>
      <c r="I188" s="143"/>
    </row>
    <row r="189" spans="1:10">
      <c r="A189" s="55"/>
      <c r="B189" s="151" t="s">
        <v>205</v>
      </c>
      <c r="C189" s="3"/>
      <c r="D189" s="129"/>
      <c r="E189" s="130"/>
      <c r="F189" s="130"/>
      <c r="G189" s="147"/>
      <c r="H189" s="147"/>
      <c r="I189" s="56"/>
      <c r="J189" s="144"/>
    </row>
    <row r="190" spans="1:10">
      <c r="A190" s="55"/>
      <c r="B190" s="4"/>
      <c r="C190" s="3"/>
      <c r="D190" s="129"/>
      <c r="E190" s="130"/>
      <c r="F190" s="130"/>
      <c r="G190" s="147"/>
      <c r="H190" s="147"/>
      <c r="I190" s="56"/>
      <c r="J190" s="144"/>
    </row>
    <row r="191" spans="1:10">
      <c r="A191" s="55"/>
      <c r="B191" s="149" t="s">
        <v>206</v>
      </c>
      <c r="C191" s="3"/>
      <c r="D191" s="129">
        <f>36+2.4</f>
        <v>38.4</v>
      </c>
      <c r="E191" s="130"/>
      <c r="F191" s="130">
        <v>1.8</v>
      </c>
      <c r="G191" s="147">
        <v>2</v>
      </c>
      <c r="H191" s="147"/>
      <c r="I191" s="56">
        <f t="shared" ref="I191" si="34">TRUNC(PRODUCT(D191:G191)-H191,2)</f>
        <v>138.24</v>
      </c>
      <c r="J191" s="144"/>
    </row>
    <row r="192" spans="1:10">
      <c r="A192" s="261" t="s">
        <v>72</v>
      </c>
      <c r="B192" s="262"/>
      <c r="C192" s="262"/>
      <c r="D192" s="262"/>
      <c r="E192" s="262"/>
      <c r="F192" s="262"/>
      <c r="G192" s="262"/>
      <c r="H192" s="263"/>
      <c r="I192" s="150">
        <f>SUM(I191:I191)</f>
        <v>138.24</v>
      </c>
      <c r="J192" s="144"/>
    </row>
    <row r="193" spans="1:9" ht="26.4">
      <c r="A193" s="55" t="s">
        <v>179</v>
      </c>
      <c r="B193" s="4" t="s">
        <v>108</v>
      </c>
      <c r="C193" s="3" t="s">
        <v>103</v>
      </c>
      <c r="D193" s="129"/>
      <c r="E193" s="130"/>
      <c r="F193" s="130"/>
      <c r="G193" s="147">
        <v>2</v>
      </c>
      <c r="H193" s="147"/>
      <c r="I193" s="56">
        <f t="shared" ref="I193:I195" si="35">TRUNC(PRODUCT(D193:G193)-H193,2)</f>
        <v>2</v>
      </c>
    </row>
    <row r="194" spans="1:9" ht="52.8">
      <c r="A194" s="55" t="s">
        <v>180</v>
      </c>
      <c r="B194" s="4" t="s">
        <v>166</v>
      </c>
      <c r="C194" s="3" t="s">
        <v>102</v>
      </c>
      <c r="D194" s="129"/>
      <c r="E194" s="130"/>
      <c r="F194" s="130"/>
      <c r="G194" s="147">
        <v>1</v>
      </c>
      <c r="H194" s="147"/>
      <c r="I194" s="56">
        <f t="shared" si="35"/>
        <v>1</v>
      </c>
    </row>
    <row r="195" spans="1:9" ht="52.8">
      <c r="A195" s="55" t="s">
        <v>181</v>
      </c>
      <c r="B195" s="4" t="s">
        <v>190</v>
      </c>
      <c r="C195" s="3" t="s">
        <v>102</v>
      </c>
      <c r="D195" s="145"/>
      <c r="E195" s="146"/>
      <c r="F195" s="130"/>
      <c r="G195" s="147">
        <v>1</v>
      </c>
      <c r="H195" s="147"/>
      <c r="I195" s="56">
        <f t="shared" si="35"/>
        <v>1</v>
      </c>
    </row>
    <row r="196" spans="1:9" ht="13.8">
      <c r="A196" s="246"/>
      <c r="B196" s="247"/>
      <c r="C196" s="247"/>
      <c r="D196" s="247"/>
      <c r="E196" s="247"/>
      <c r="F196" s="247"/>
      <c r="G196" s="247"/>
      <c r="H196" s="247"/>
      <c r="I196" s="248"/>
    </row>
    <row r="197" spans="1:9" ht="16.5" customHeight="1">
      <c r="A197" s="260" t="s">
        <v>242</v>
      </c>
      <c r="B197" s="260"/>
      <c r="C197" s="260"/>
      <c r="D197" s="260"/>
      <c r="E197" s="260"/>
      <c r="F197" s="260"/>
      <c r="G197" s="260"/>
      <c r="H197" s="260"/>
      <c r="I197" s="260"/>
    </row>
    <row r="198" spans="1:9" ht="26.4">
      <c r="A198" s="55" t="s">
        <v>182</v>
      </c>
      <c r="B198" s="4" t="s">
        <v>184</v>
      </c>
      <c r="C198" s="3" t="s">
        <v>103</v>
      </c>
      <c r="D198" s="129"/>
      <c r="E198" s="130"/>
      <c r="F198" s="130"/>
      <c r="G198" s="147">
        <f>6*4</f>
        <v>24</v>
      </c>
      <c r="H198" s="147"/>
      <c r="I198" s="56">
        <f t="shared" ref="I198:I204" si="36">TRUNC(PRODUCT(D198:G198)-H198,2)</f>
        <v>24</v>
      </c>
    </row>
    <row r="199" spans="1:9" ht="26.4">
      <c r="A199" s="55" t="s">
        <v>243</v>
      </c>
      <c r="B199" s="4" t="s">
        <v>112</v>
      </c>
      <c r="C199" s="3" t="s">
        <v>103</v>
      </c>
      <c r="D199" s="129"/>
      <c r="E199" s="130"/>
      <c r="F199" s="130"/>
      <c r="G199" s="147">
        <v>1</v>
      </c>
      <c r="H199" s="147"/>
      <c r="I199" s="56">
        <f t="shared" si="36"/>
        <v>1</v>
      </c>
    </row>
    <row r="200" spans="1:9" ht="52.8">
      <c r="A200" s="55" t="s">
        <v>244</v>
      </c>
      <c r="B200" s="4" t="s">
        <v>185</v>
      </c>
      <c r="C200" s="3" t="s">
        <v>103</v>
      </c>
      <c r="D200" s="145"/>
      <c r="E200" s="146"/>
      <c r="F200" s="130"/>
      <c r="G200" s="147">
        <v>1</v>
      </c>
      <c r="H200" s="147"/>
      <c r="I200" s="56">
        <f t="shared" si="36"/>
        <v>1</v>
      </c>
    </row>
    <row r="201" spans="1:9" ht="26.4">
      <c r="A201" s="55" t="s">
        <v>245</v>
      </c>
      <c r="B201" s="4" t="s">
        <v>113</v>
      </c>
      <c r="C201" s="3" t="s">
        <v>103</v>
      </c>
      <c r="D201" s="129"/>
      <c r="E201" s="130"/>
      <c r="F201" s="130"/>
      <c r="G201" s="147">
        <v>6</v>
      </c>
      <c r="H201" s="147"/>
      <c r="I201" s="56">
        <f t="shared" si="36"/>
        <v>6</v>
      </c>
    </row>
    <row r="202" spans="1:9" ht="39.6">
      <c r="A202" s="55" t="s">
        <v>246</v>
      </c>
      <c r="B202" s="141" t="s">
        <v>274</v>
      </c>
      <c r="C202" s="1" t="s">
        <v>1</v>
      </c>
      <c r="D202" s="129"/>
      <c r="E202" s="130"/>
      <c r="F202" s="130"/>
      <c r="G202" s="147">
        <v>135.4</v>
      </c>
      <c r="H202" s="147"/>
      <c r="I202" s="56">
        <f t="shared" si="36"/>
        <v>135.4</v>
      </c>
    </row>
    <row r="203" spans="1:9" ht="39.6">
      <c r="A203" s="55" t="s">
        <v>247</v>
      </c>
      <c r="B203" s="141" t="s">
        <v>275</v>
      </c>
      <c r="C203" s="1" t="s">
        <v>1</v>
      </c>
      <c r="D203" s="129"/>
      <c r="E203" s="130"/>
      <c r="F203" s="130"/>
      <c r="G203" s="147">
        <v>40.74</v>
      </c>
      <c r="H203" s="147"/>
      <c r="I203" s="56">
        <f t="shared" ref="I203" si="37">TRUNC(PRODUCT(D203:G203)-H203,2)</f>
        <v>40.74</v>
      </c>
    </row>
    <row r="204" spans="1:9" ht="39.6">
      <c r="A204" s="55" t="s">
        <v>248</v>
      </c>
      <c r="B204" s="141" t="s">
        <v>276</v>
      </c>
      <c r="C204" s="1" t="s">
        <v>1</v>
      </c>
      <c r="D204" s="129"/>
      <c r="E204" s="130"/>
      <c r="F204" s="130"/>
      <c r="G204" s="147">
        <v>15.72</v>
      </c>
      <c r="H204" s="147"/>
      <c r="I204" s="56">
        <f t="shared" si="36"/>
        <v>15.72</v>
      </c>
    </row>
    <row r="205" spans="1:9" ht="39.6">
      <c r="A205" s="55" t="s">
        <v>249</v>
      </c>
      <c r="B205" s="4" t="s">
        <v>207</v>
      </c>
      <c r="C205" s="3" t="s">
        <v>1</v>
      </c>
      <c r="D205" s="129"/>
      <c r="E205" s="130"/>
      <c r="F205" s="130"/>
      <c r="G205" s="147">
        <f>232.91+87.63+73.03+72.23</f>
        <v>465.79999999999995</v>
      </c>
      <c r="H205" s="147"/>
      <c r="I205" s="56">
        <f t="shared" ref="I205:I207" si="38">TRUNC(PRODUCT(D205:G205)-H205,2)</f>
        <v>465.8</v>
      </c>
    </row>
    <row r="206" spans="1:9" ht="39.6">
      <c r="A206" s="55" t="s">
        <v>250</v>
      </c>
      <c r="B206" s="4" t="s">
        <v>186</v>
      </c>
      <c r="C206" s="3" t="s">
        <v>1</v>
      </c>
      <c r="D206" s="145"/>
      <c r="E206" s="146"/>
      <c r="F206" s="130"/>
      <c r="G206" s="147">
        <f>15.72*4</f>
        <v>62.88</v>
      </c>
      <c r="H206" s="147"/>
      <c r="I206" s="56">
        <f t="shared" si="38"/>
        <v>62.88</v>
      </c>
    </row>
    <row r="207" spans="1:9" ht="39.6">
      <c r="A207" s="55" t="s">
        <v>251</v>
      </c>
      <c r="B207" s="4" t="s">
        <v>273</v>
      </c>
      <c r="C207" s="3" t="s">
        <v>1</v>
      </c>
      <c r="D207" s="129"/>
      <c r="E207" s="130"/>
      <c r="F207" s="130"/>
      <c r="G207" s="147">
        <f>3.7*4</f>
        <v>14.8</v>
      </c>
      <c r="H207" s="147"/>
      <c r="I207" s="56">
        <f t="shared" si="38"/>
        <v>14.8</v>
      </c>
    </row>
    <row r="208" spans="1:9">
      <c r="A208" s="153"/>
      <c r="B208" s="154"/>
      <c r="C208" s="155"/>
      <c r="D208" s="155"/>
      <c r="E208" s="155"/>
      <c r="F208" s="155"/>
      <c r="G208" s="155"/>
      <c r="H208" s="155"/>
      <c r="I208" s="156"/>
    </row>
    <row r="209" spans="1:9" ht="16.5" customHeight="1">
      <c r="A209" s="260" t="s">
        <v>252</v>
      </c>
      <c r="B209" s="260"/>
      <c r="C209" s="260"/>
      <c r="D209" s="260"/>
      <c r="E209" s="260"/>
      <c r="F209" s="260"/>
      <c r="G209" s="260"/>
      <c r="H209" s="260"/>
      <c r="I209" s="260"/>
    </row>
    <row r="210" spans="1:9" ht="26.4">
      <c r="A210" s="55" t="s">
        <v>253</v>
      </c>
      <c r="B210" s="4" t="s">
        <v>187</v>
      </c>
      <c r="C210" s="3" t="s">
        <v>2</v>
      </c>
      <c r="D210" s="145">
        <v>42.7</v>
      </c>
      <c r="E210" s="146">
        <v>25.7</v>
      </c>
      <c r="F210" s="130"/>
      <c r="G210" s="147"/>
      <c r="H210" s="147"/>
      <c r="I210" s="56">
        <f t="shared" ref="I210" si="39">TRUNC(PRODUCT(D210:G210)-H210,2)</f>
        <v>1097.3900000000001</v>
      </c>
    </row>
    <row r="211" spans="1:9">
      <c r="A211" s="61"/>
      <c r="B211" s="62"/>
      <c r="C211" s="61"/>
      <c r="D211" s="61"/>
      <c r="E211" s="61"/>
      <c r="F211" s="61"/>
      <c r="G211" s="61"/>
      <c r="H211" s="61"/>
      <c r="I211" s="61"/>
    </row>
    <row r="212" spans="1:9">
      <c r="A212" s="61"/>
      <c r="B212" s="62"/>
      <c r="C212" s="61"/>
      <c r="D212" s="61"/>
      <c r="E212" s="61"/>
      <c r="F212" s="61"/>
      <c r="G212" s="61"/>
      <c r="H212" s="61"/>
      <c r="I212" s="61"/>
    </row>
    <row r="213" spans="1:9">
      <c r="A213" s="61"/>
      <c r="B213" s="62"/>
      <c r="C213" s="61"/>
      <c r="D213" s="61"/>
      <c r="E213" s="61"/>
      <c r="F213" s="61"/>
      <c r="G213" s="61"/>
      <c r="H213" s="61"/>
      <c r="I213" s="61"/>
    </row>
    <row r="214" spans="1:9">
      <c r="A214" s="61"/>
      <c r="B214" s="62"/>
      <c r="C214" s="61"/>
      <c r="D214" s="61"/>
      <c r="E214" s="61"/>
      <c r="F214" s="61"/>
      <c r="G214" s="61"/>
      <c r="H214" s="61"/>
      <c r="I214" s="61"/>
    </row>
    <row r="215" spans="1:9">
      <c r="A215" s="61"/>
      <c r="B215" s="62"/>
      <c r="C215" s="61"/>
      <c r="D215" s="61"/>
      <c r="E215" s="61"/>
      <c r="F215" s="61"/>
      <c r="G215" s="61"/>
      <c r="H215" s="61"/>
      <c r="I215" s="61"/>
    </row>
    <row r="216" spans="1:9">
      <c r="A216" s="61"/>
      <c r="B216" s="62"/>
      <c r="C216" s="61"/>
      <c r="D216" s="61"/>
      <c r="E216" s="61"/>
      <c r="F216" s="61"/>
      <c r="G216" s="61"/>
      <c r="H216" s="61"/>
      <c r="I216" s="61"/>
    </row>
    <row r="217" spans="1:9">
      <c r="A217" s="61"/>
      <c r="B217" s="62"/>
      <c r="C217" s="61"/>
      <c r="D217" s="61"/>
      <c r="E217" s="61"/>
      <c r="F217" s="61"/>
      <c r="G217" s="61"/>
      <c r="H217" s="61"/>
      <c r="I217" s="61"/>
    </row>
    <row r="218" spans="1:9">
      <c r="A218" s="61"/>
      <c r="B218" s="62"/>
      <c r="C218" s="61"/>
      <c r="D218" s="61"/>
      <c r="E218" s="61"/>
      <c r="F218" s="61"/>
      <c r="G218" s="61"/>
      <c r="H218" s="61"/>
      <c r="I218" s="61"/>
    </row>
    <row r="219" spans="1:9">
      <c r="A219" s="61"/>
      <c r="B219" s="62"/>
      <c r="C219" s="61"/>
      <c r="D219" s="61"/>
      <c r="E219" s="61"/>
      <c r="F219" s="61"/>
      <c r="G219" s="61"/>
      <c r="H219" s="61"/>
      <c r="I219" s="61"/>
    </row>
    <row r="220" spans="1:9">
      <c r="A220" s="61"/>
      <c r="B220" s="62"/>
      <c r="C220" s="61"/>
      <c r="D220" s="61"/>
      <c r="E220" s="61"/>
      <c r="F220" s="61"/>
      <c r="G220" s="61"/>
      <c r="H220" s="61"/>
      <c r="I220" s="61"/>
    </row>
    <row r="221" spans="1:9">
      <c r="A221" s="61"/>
      <c r="B221" s="62"/>
      <c r="C221" s="61"/>
      <c r="D221" s="61"/>
      <c r="E221" s="61"/>
      <c r="F221" s="61"/>
      <c r="G221" s="61"/>
      <c r="H221" s="61"/>
      <c r="I221" s="61"/>
    </row>
    <row r="222" spans="1:9">
      <c r="A222" s="61"/>
      <c r="B222" s="62"/>
      <c r="C222" s="61"/>
      <c r="D222" s="61"/>
      <c r="E222" s="61"/>
      <c r="F222" s="61"/>
      <c r="G222" s="61"/>
      <c r="H222" s="61"/>
      <c r="I222" s="61"/>
    </row>
    <row r="223" spans="1:9">
      <c r="A223" s="61"/>
      <c r="B223" s="62"/>
      <c r="C223" s="61"/>
      <c r="D223" s="61"/>
      <c r="E223" s="61"/>
      <c r="F223" s="61"/>
      <c r="G223" s="61"/>
      <c r="H223" s="61"/>
      <c r="I223" s="61"/>
    </row>
    <row r="224" spans="1:9">
      <c r="A224" s="61"/>
      <c r="B224" s="62"/>
      <c r="C224" s="61"/>
      <c r="D224" s="61"/>
      <c r="E224" s="61"/>
      <c r="F224" s="61"/>
      <c r="G224" s="61"/>
      <c r="H224" s="61"/>
      <c r="I224" s="61"/>
    </row>
    <row r="225" spans="1:9">
      <c r="A225" s="61"/>
      <c r="B225" s="62"/>
      <c r="C225" s="61"/>
      <c r="D225" s="61"/>
      <c r="E225" s="61"/>
      <c r="F225" s="61"/>
      <c r="G225" s="61"/>
      <c r="H225" s="61"/>
      <c r="I225" s="61"/>
    </row>
    <row r="226" spans="1:9">
      <c r="A226" s="61"/>
      <c r="B226" s="62"/>
      <c r="C226" s="61"/>
      <c r="D226" s="61"/>
      <c r="E226" s="61"/>
      <c r="F226" s="61"/>
      <c r="G226" s="61"/>
      <c r="H226" s="61"/>
      <c r="I226" s="61"/>
    </row>
    <row r="227" spans="1:9">
      <c r="A227" s="61"/>
      <c r="B227" s="62"/>
      <c r="C227" s="61"/>
      <c r="D227" s="61"/>
      <c r="E227" s="61"/>
      <c r="F227" s="61"/>
      <c r="G227" s="61"/>
      <c r="H227" s="61"/>
      <c r="I227" s="61"/>
    </row>
    <row r="228" spans="1:9">
      <c r="A228" s="61"/>
      <c r="B228" s="62"/>
      <c r="C228" s="61"/>
      <c r="D228" s="61"/>
      <c r="E228" s="61"/>
      <c r="F228" s="61"/>
      <c r="G228" s="61"/>
      <c r="H228" s="61"/>
      <c r="I228" s="61"/>
    </row>
    <row r="229" spans="1:9">
      <c r="A229" s="61"/>
      <c r="B229" s="62"/>
      <c r="C229" s="61"/>
      <c r="D229" s="61"/>
      <c r="E229" s="61"/>
      <c r="F229" s="61"/>
      <c r="G229" s="61"/>
      <c r="H229" s="61"/>
      <c r="I229" s="61"/>
    </row>
    <row r="230" spans="1:9">
      <c r="A230" s="61"/>
      <c r="B230" s="62"/>
      <c r="C230" s="61"/>
      <c r="D230" s="61"/>
      <c r="E230" s="61"/>
      <c r="F230" s="61"/>
      <c r="G230" s="61"/>
      <c r="H230" s="61"/>
      <c r="I230" s="61"/>
    </row>
    <row r="231" spans="1:9">
      <c r="A231" s="61"/>
      <c r="B231" s="62"/>
      <c r="C231" s="61"/>
      <c r="D231" s="61"/>
      <c r="E231" s="61"/>
      <c r="F231" s="61"/>
      <c r="G231" s="61"/>
      <c r="H231" s="61"/>
      <c r="I231" s="61"/>
    </row>
    <row r="232" spans="1:9">
      <c r="A232" s="61"/>
      <c r="B232" s="62"/>
      <c r="C232" s="61"/>
      <c r="D232" s="61"/>
      <c r="E232" s="61"/>
      <c r="F232" s="61"/>
      <c r="G232" s="61"/>
      <c r="H232" s="61"/>
      <c r="I232" s="61"/>
    </row>
    <row r="233" spans="1:9">
      <c r="A233" s="61"/>
      <c r="B233" s="62"/>
      <c r="C233" s="61"/>
      <c r="D233" s="61"/>
      <c r="E233" s="61"/>
      <c r="F233" s="61"/>
      <c r="G233" s="61"/>
      <c r="H233" s="61"/>
      <c r="I233" s="61"/>
    </row>
    <row r="234" spans="1:9">
      <c r="A234" s="61"/>
      <c r="B234" s="62"/>
      <c r="C234" s="61"/>
      <c r="D234" s="61"/>
      <c r="E234" s="61"/>
      <c r="F234" s="61"/>
      <c r="G234" s="61"/>
      <c r="H234" s="61"/>
      <c r="I234" s="61"/>
    </row>
    <row r="235" spans="1:9">
      <c r="A235" s="61"/>
      <c r="B235" s="62"/>
      <c r="C235" s="61"/>
      <c r="D235" s="61"/>
      <c r="E235" s="61"/>
      <c r="F235" s="61"/>
      <c r="G235" s="61"/>
      <c r="H235" s="61"/>
      <c r="I235" s="61"/>
    </row>
    <row r="236" spans="1:9">
      <c r="A236" s="61"/>
      <c r="B236" s="62"/>
      <c r="C236" s="61"/>
      <c r="D236" s="61"/>
      <c r="E236" s="61"/>
      <c r="F236" s="61"/>
      <c r="G236" s="61"/>
      <c r="H236" s="61"/>
      <c r="I236" s="61"/>
    </row>
    <row r="237" spans="1:9">
      <c r="A237" s="61"/>
      <c r="B237" s="62"/>
      <c r="C237" s="61"/>
      <c r="D237" s="61"/>
      <c r="E237" s="61"/>
      <c r="F237" s="61"/>
      <c r="G237" s="61"/>
      <c r="H237" s="61"/>
      <c r="I237" s="61"/>
    </row>
    <row r="238" spans="1:9">
      <c r="A238" s="61"/>
      <c r="B238" s="62"/>
      <c r="C238" s="61"/>
      <c r="D238" s="61"/>
      <c r="E238" s="61"/>
      <c r="F238" s="61"/>
      <c r="G238" s="61"/>
      <c r="H238" s="61"/>
      <c r="I238" s="61"/>
    </row>
    <row r="239" spans="1:9">
      <c r="A239" s="61"/>
      <c r="B239" s="62"/>
      <c r="C239" s="61"/>
      <c r="D239" s="61"/>
      <c r="E239" s="61"/>
      <c r="F239" s="61"/>
      <c r="G239" s="61"/>
      <c r="H239" s="61"/>
      <c r="I239" s="61"/>
    </row>
    <row r="240" spans="1:9">
      <c r="A240" s="61"/>
      <c r="B240" s="62"/>
      <c r="C240" s="61"/>
      <c r="D240" s="61"/>
      <c r="E240" s="61"/>
      <c r="F240" s="61"/>
      <c r="G240" s="61"/>
      <c r="H240" s="61"/>
      <c r="I240" s="61"/>
    </row>
    <row r="241" spans="1:9">
      <c r="A241" s="61"/>
      <c r="B241" s="62"/>
      <c r="C241" s="61"/>
      <c r="D241" s="61"/>
      <c r="E241" s="61"/>
      <c r="F241" s="61"/>
      <c r="G241" s="61"/>
      <c r="H241" s="61"/>
      <c r="I241" s="61"/>
    </row>
    <row r="242" spans="1:9">
      <c r="A242" s="61"/>
      <c r="B242" s="62"/>
      <c r="C242" s="61"/>
      <c r="D242" s="61"/>
      <c r="E242" s="61"/>
      <c r="F242" s="61"/>
      <c r="G242" s="61"/>
      <c r="H242" s="61"/>
      <c r="I242" s="61"/>
    </row>
    <row r="243" spans="1:9">
      <c r="A243" s="61"/>
      <c r="B243" s="62"/>
      <c r="C243" s="61"/>
      <c r="D243" s="61"/>
      <c r="E243" s="61"/>
      <c r="F243" s="61"/>
      <c r="G243" s="61"/>
      <c r="H243" s="61"/>
      <c r="I243" s="61"/>
    </row>
    <row r="244" spans="1:9">
      <c r="A244" s="61"/>
      <c r="B244" s="62"/>
      <c r="C244" s="61"/>
      <c r="D244" s="61"/>
      <c r="E244" s="61"/>
      <c r="F244" s="61"/>
      <c r="G244" s="61"/>
      <c r="H244" s="61"/>
      <c r="I244" s="61"/>
    </row>
    <row r="245" spans="1:9">
      <c r="A245" s="61"/>
      <c r="B245" s="62"/>
      <c r="C245" s="61"/>
      <c r="D245" s="61"/>
      <c r="E245" s="61"/>
      <c r="F245" s="61"/>
      <c r="G245" s="61"/>
      <c r="H245" s="61"/>
      <c r="I245" s="61"/>
    </row>
    <row r="246" spans="1:9">
      <c r="A246" s="61"/>
      <c r="B246" s="62"/>
      <c r="C246" s="61"/>
      <c r="D246" s="61"/>
      <c r="E246" s="61"/>
      <c r="F246" s="61"/>
      <c r="G246" s="61"/>
      <c r="H246" s="61"/>
      <c r="I246" s="61"/>
    </row>
    <row r="247" spans="1:9">
      <c r="A247" s="61"/>
      <c r="B247" s="62"/>
      <c r="C247" s="61"/>
      <c r="D247" s="61"/>
      <c r="E247" s="61"/>
      <c r="F247" s="61"/>
      <c r="G247" s="61"/>
      <c r="H247" s="61"/>
      <c r="I247" s="61"/>
    </row>
    <row r="248" spans="1:9">
      <c r="A248" s="61"/>
      <c r="B248" s="62"/>
      <c r="C248" s="61"/>
      <c r="D248" s="61"/>
      <c r="E248" s="61"/>
      <c r="F248" s="61"/>
      <c r="G248" s="61"/>
      <c r="H248" s="61"/>
      <c r="I248" s="61"/>
    </row>
    <row r="249" spans="1:9">
      <c r="A249" s="61"/>
      <c r="B249" s="62"/>
      <c r="C249" s="61"/>
      <c r="D249" s="61"/>
      <c r="E249" s="61"/>
      <c r="F249" s="61"/>
      <c r="G249" s="61"/>
      <c r="H249" s="61"/>
      <c r="I249" s="61"/>
    </row>
    <row r="250" spans="1:9">
      <c r="A250" s="61"/>
      <c r="B250" s="62"/>
      <c r="C250" s="61"/>
      <c r="D250" s="61"/>
      <c r="E250" s="61"/>
      <c r="F250" s="61"/>
      <c r="G250" s="61"/>
      <c r="H250" s="61"/>
      <c r="I250" s="61"/>
    </row>
    <row r="251" spans="1:9">
      <c r="A251" s="61"/>
      <c r="B251" s="62"/>
      <c r="C251" s="61"/>
      <c r="D251" s="61"/>
      <c r="E251" s="61"/>
      <c r="F251" s="61"/>
      <c r="G251" s="61"/>
      <c r="H251" s="61"/>
      <c r="I251" s="61"/>
    </row>
    <row r="252" spans="1:9">
      <c r="A252" s="61"/>
      <c r="B252" s="62"/>
      <c r="C252" s="61"/>
      <c r="D252" s="61"/>
      <c r="E252" s="61"/>
      <c r="F252" s="61"/>
      <c r="G252" s="61"/>
      <c r="H252" s="61"/>
      <c r="I252" s="61"/>
    </row>
    <row r="253" spans="1:9">
      <c r="A253" s="61"/>
      <c r="B253" s="62"/>
      <c r="C253" s="61"/>
      <c r="D253" s="61"/>
      <c r="E253" s="61"/>
      <c r="F253" s="61"/>
      <c r="G253" s="61"/>
      <c r="H253" s="61"/>
      <c r="I253" s="61"/>
    </row>
    <row r="254" spans="1:9">
      <c r="A254" s="61"/>
      <c r="B254" s="62"/>
      <c r="C254" s="61"/>
      <c r="D254" s="61"/>
      <c r="E254" s="61"/>
      <c r="F254" s="61"/>
      <c r="G254" s="61"/>
      <c r="H254" s="61"/>
      <c r="I254" s="61"/>
    </row>
    <row r="255" spans="1:9">
      <c r="A255" s="61"/>
      <c r="B255" s="62"/>
      <c r="C255" s="61"/>
      <c r="D255" s="61"/>
      <c r="E255" s="61"/>
      <c r="F255" s="61"/>
      <c r="G255" s="61"/>
      <c r="H255" s="61"/>
      <c r="I255" s="61"/>
    </row>
    <row r="256" spans="1:9">
      <c r="A256" s="61"/>
      <c r="B256" s="62"/>
      <c r="C256" s="61"/>
      <c r="D256" s="61"/>
      <c r="E256" s="61"/>
      <c r="F256" s="61"/>
      <c r="G256" s="61"/>
      <c r="H256" s="61"/>
      <c r="I256" s="61"/>
    </row>
    <row r="257" spans="1:9">
      <c r="A257" s="61"/>
      <c r="B257" s="62"/>
      <c r="C257" s="61"/>
      <c r="D257" s="61"/>
      <c r="E257" s="61"/>
      <c r="F257" s="61"/>
      <c r="G257" s="61"/>
      <c r="H257" s="61"/>
      <c r="I257" s="61"/>
    </row>
  </sheetData>
  <mergeCells count="53">
    <mergeCell ref="A197:I197"/>
    <mergeCell ref="A209:I209"/>
    <mergeCell ref="A1:I1"/>
    <mergeCell ref="A2:I2"/>
    <mergeCell ref="A3:B3"/>
    <mergeCell ref="C9:I9"/>
    <mergeCell ref="C10:I10"/>
    <mergeCell ref="C4:G4"/>
    <mergeCell ref="A119:I119"/>
    <mergeCell ref="A76:I76"/>
    <mergeCell ref="A40:I40"/>
    <mergeCell ref="A36:H36"/>
    <mergeCell ref="A56:I56"/>
    <mergeCell ref="A63:I63"/>
    <mergeCell ref="A11:I12"/>
    <mergeCell ref="A19:I19"/>
    <mergeCell ref="A38:I38"/>
    <mergeCell ref="A39:I39"/>
    <mergeCell ref="A14:I14"/>
    <mergeCell ref="A18:I18"/>
    <mergeCell ref="A70:I70"/>
    <mergeCell ref="A28:H28"/>
    <mergeCell ref="A47:H47"/>
    <mergeCell ref="A75:H75"/>
    <mergeCell ref="A85:H85"/>
    <mergeCell ref="A105:H105"/>
    <mergeCell ref="A118:H118"/>
    <mergeCell ref="A91:I91"/>
    <mergeCell ref="A77:I77"/>
    <mergeCell ref="A92:I92"/>
    <mergeCell ref="A90:H90"/>
    <mergeCell ref="A186:I186"/>
    <mergeCell ref="A196:I196"/>
    <mergeCell ref="A185:I185"/>
    <mergeCell ref="A192:H192"/>
    <mergeCell ref="A120:I120"/>
    <mergeCell ref="A151:I151"/>
    <mergeCell ref="A164:H164"/>
    <mergeCell ref="A177:H177"/>
    <mergeCell ref="A184:H184"/>
    <mergeCell ref="A127:I127"/>
    <mergeCell ref="A128:I128"/>
    <mergeCell ref="A150:I150"/>
    <mergeCell ref="A139:F139"/>
    <mergeCell ref="H139:I139"/>
    <mergeCell ref="A137:F137"/>
    <mergeCell ref="H137:I137"/>
    <mergeCell ref="A135:F135"/>
    <mergeCell ref="H135:I135"/>
    <mergeCell ref="A133:F133"/>
    <mergeCell ref="H133:I133"/>
    <mergeCell ref="A131:F131"/>
    <mergeCell ref="H131:I131"/>
  </mergeCells>
  <phoneticPr fontId="59" type="noConversion"/>
  <conditionalFormatting sqref="C4">
    <cfRule type="cellIs" dxfId="23" priority="1" stopIfTrue="1" operator="equal">
      <formula>0</formula>
    </cfRule>
  </conditionalFormatting>
  <conditionalFormatting sqref="C3:H3 A3:A4 B6 D6:H6 A6:A7 C6:C7 C8:H8 B8:B9 C9:C10 A9:A11">
    <cfRule type="cellIs" dxfId="22" priority="2" stopIfTrue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58" orientation="portrait" horizontalDpi="360" verticalDpi="360" r:id="rId1"/>
  <headerFooter>
    <oddFooter>Página &amp;P de &amp;N</oddFooter>
  </headerFooter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D31"/>
  <sheetViews>
    <sheetView view="pageBreakPreview" zoomScale="115" zoomScaleNormal="100" zoomScaleSheetLayoutView="115" workbookViewId="0">
      <selection activeCell="D7" sqref="D7"/>
    </sheetView>
  </sheetViews>
  <sheetFormatPr defaultRowHeight="13.2"/>
  <cols>
    <col min="2" max="2" width="22.109375" bestFit="1" customWidth="1"/>
    <col min="3" max="3" width="12.6640625" customWidth="1"/>
    <col min="4" max="4" width="22.33203125" customWidth="1"/>
  </cols>
  <sheetData>
    <row r="8" spans="1:4" ht="27" customHeight="1" thickBot="1"/>
    <row r="9" spans="1:4" ht="24" thickBot="1">
      <c r="A9" s="273" t="s">
        <v>93</v>
      </c>
      <c r="B9" s="274"/>
      <c r="C9" s="274"/>
      <c r="D9" s="275"/>
    </row>
    <row r="10" spans="1:4" ht="15" thickBot="1">
      <c r="A10" s="276"/>
      <c r="B10" s="277"/>
      <c r="C10" s="277"/>
      <c r="D10" s="278"/>
    </row>
    <row r="11" spans="1:4" ht="32.25" customHeight="1" thickBot="1">
      <c r="A11" s="8" t="s">
        <v>19</v>
      </c>
      <c r="B11" s="279" t="s">
        <v>217</v>
      </c>
      <c r="C11" s="280"/>
      <c r="D11" s="281"/>
    </row>
    <row r="12" spans="1:4" ht="15" thickBot="1">
      <c r="A12" s="9" t="s">
        <v>20</v>
      </c>
      <c r="B12" s="282" t="s">
        <v>278</v>
      </c>
      <c r="C12" s="283"/>
      <c r="D12" s="284"/>
    </row>
    <row r="13" spans="1:4" ht="15" thickBot="1">
      <c r="A13" s="10"/>
      <c r="B13" s="11"/>
      <c r="C13" s="11"/>
      <c r="D13" s="12"/>
    </row>
    <row r="14" spans="1:4" ht="14.4">
      <c r="A14" s="13" t="s">
        <v>21</v>
      </c>
      <c r="B14" s="14" t="s">
        <v>22</v>
      </c>
      <c r="C14" s="15">
        <v>0.04</v>
      </c>
      <c r="D14" s="16" t="s">
        <v>37</v>
      </c>
    </row>
    <row r="15" spans="1:4" ht="14.4">
      <c r="A15" s="13" t="s">
        <v>3</v>
      </c>
      <c r="B15" s="14" t="s">
        <v>23</v>
      </c>
      <c r="C15" s="15">
        <v>8.0000000000000002E-3</v>
      </c>
      <c r="D15" s="16" t="s">
        <v>38</v>
      </c>
    </row>
    <row r="16" spans="1:4" ht="14.4">
      <c r="A16" s="13" t="s">
        <v>4</v>
      </c>
      <c r="B16" s="14" t="s">
        <v>24</v>
      </c>
      <c r="C16" s="15">
        <v>1.2699999999999999E-2</v>
      </c>
      <c r="D16" s="16" t="s">
        <v>39</v>
      </c>
    </row>
    <row r="17" spans="1:4" ht="14.4">
      <c r="A17" s="13" t="s">
        <v>11</v>
      </c>
      <c r="B17" s="14" t="s">
        <v>25</v>
      </c>
      <c r="C17" s="15">
        <v>7.3999999999999996E-2</v>
      </c>
      <c r="D17" s="16" t="s">
        <v>40</v>
      </c>
    </row>
    <row r="18" spans="1:4" ht="14.4">
      <c r="A18" s="13" t="s">
        <v>12</v>
      </c>
      <c r="B18" s="14" t="s">
        <v>26</v>
      </c>
      <c r="C18" s="15">
        <v>1.23E-2</v>
      </c>
      <c r="D18" s="16" t="s">
        <v>41</v>
      </c>
    </row>
    <row r="19" spans="1:4" ht="14.4">
      <c r="A19" s="13" t="s">
        <v>15</v>
      </c>
      <c r="B19" s="14" t="s">
        <v>27</v>
      </c>
      <c r="C19" s="15">
        <f>SUM(C20:C23)</f>
        <v>6.6500000000000004E-2</v>
      </c>
      <c r="D19" s="16" t="s">
        <v>18</v>
      </c>
    </row>
    <row r="20" spans="1:4" ht="14.4">
      <c r="A20" s="17" t="s">
        <v>28</v>
      </c>
      <c r="B20" s="14" t="s">
        <v>29</v>
      </c>
      <c r="C20" s="15">
        <v>0.03</v>
      </c>
      <c r="D20" s="16" t="s">
        <v>42</v>
      </c>
    </row>
    <row r="21" spans="1:4" ht="14.4">
      <c r="A21" s="17" t="s">
        <v>30</v>
      </c>
      <c r="B21" s="14" t="s">
        <v>31</v>
      </c>
      <c r="C21" s="15">
        <v>0.03</v>
      </c>
      <c r="D21" s="16" t="s">
        <v>43</v>
      </c>
    </row>
    <row r="22" spans="1:4" ht="14.4">
      <c r="A22" s="17" t="s">
        <v>32</v>
      </c>
      <c r="B22" s="14" t="s">
        <v>33</v>
      </c>
      <c r="C22" s="15">
        <v>6.4999999999999997E-3</v>
      </c>
      <c r="D22" s="16" t="s">
        <v>44</v>
      </c>
    </row>
    <row r="23" spans="1:4" ht="15" thickBot="1">
      <c r="A23" s="17" t="s">
        <v>34</v>
      </c>
      <c r="B23" s="14" t="s">
        <v>35</v>
      </c>
      <c r="C23" s="15">
        <v>0</v>
      </c>
      <c r="D23" s="16" t="s">
        <v>45</v>
      </c>
    </row>
    <row r="24" spans="1:4" ht="15" thickBot="1">
      <c r="A24" s="10"/>
      <c r="B24" s="11"/>
      <c r="C24" s="11"/>
      <c r="D24" s="18"/>
    </row>
    <row r="25" spans="1:4" ht="15" thickBot="1">
      <c r="A25" s="10"/>
      <c r="B25" s="19" t="s">
        <v>36</v>
      </c>
      <c r="C25" s="20">
        <f>((1+C14+C15+C16)*(1+C17)*(1+C18)/(1-C19)-1)</f>
        <v>0.23535496426352442</v>
      </c>
      <c r="D25" s="18"/>
    </row>
    <row r="26" spans="1:4" ht="14.4">
      <c r="A26" s="21"/>
      <c r="B26" s="22"/>
      <c r="C26" s="22"/>
      <c r="D26" s="23"/>
    </row>
    <row r="27" spans="1:4" ht="13.8">
      <c r="A27" s="24" t="s">
        <v>46</v>
      </c>
      <c r="B27" s="25"/>
      <c r="C27" s="25"/>
      <c r="D27" s="26"/>
    </row>
    <row r="28" spans="1:4" ht="13.8">
      <c r="A28" s="24"/>
      <c r="B28" s="25"/>
      <c r="C28" s="25"/>
      <c r="D28" s="26"/>
    </row>
    <row r="29" spans="1:4" ht="12.75" customHeight="1">
      <c r="A29" s="285" t="s">
        <v>110</v>
      </c>
      <c r="B29" s="286"/>
      <c r="C29" s="286"/>
      <c r="D29" s="287"/>
    </row>
    <row r="30" spans="1:4" ht="12.75" customHeight="1">
      <c r="A30" s="285"/>
      <c r="B30" s="286"/>
      <c r="C30" s="286"/>
      <c r="D30" s="287"/>
    </row>
    <row r="31" spans="1:4" ht="54" customHeight="1" thickBot="1">
      <c r="A31" s="288"/>
      <c r="B31" s="289"/>
      <c r="C31" s="289"/>
      <c r="D31" s="290"/>
    </row>
  </sheetData>
  <mergeCells count="5">
    <mergeCell ref="A9:D9"/>
    <mergeCell ref="A10:D10"/>
    <mergeCell ref="B11:D11"/>
    <mergeCell ref="B12:D12"/>
    <mergeCell ref="A29:D3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horizontalDpi="360" verticalDpi="360" r:id="rId1"/>
  <headerFooter>
    <oddFooter>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C9EED-950E-4F77-849F-DD258CB3633B}">
  <dimension ref="A8:D31"/>
  <sheetViews>
    <sheetView view="pageBreakPreview" zoomScale="115" zoomScaleNormal="100" zoomScaleSheetLayoutView="115" workbookViewId="0">
      <selection activeCell="D7" sqref="D7"/>
    </sheetView>
  </sheetViews>
  <sheetFormatPr defaultRowHeight="13.2"/>
  <cols>
    <col min="2" max="2" width="22.109375" bestFit="1" customWidth="1"/>
    <col min="3" max="3" width="12.6640625" customWidth="1"/>
    <col min="4" max="4" width="22.33203125" customWidth="1"/>
  </cols>
  <sheetData>
    <row r="8" spans="1:4" ht="27" customHeight="1" thickBot="1"/>
    <row r="9" spans="1:4" ht="24" thickBot="1">
      <c r="A9" s="273" t="s">
        <v>93</v>
      </c>
      <c r="B9" s="274"/>
      <c r="C9" s="274"/>
      <c r="D9" s="275"/>
    </row>
    <row r="10" spans="1:4" ht="15" thickBot="1">
      <c r="A10" s="276"/>
      <c r="B10" s="277"/>
      <c r="C10" s="277"/>
      <c r="D10" s="278"/>
    </row>
    <row r="11" spans="1:4" ht="32.25" customHeight="1" thickBot="1">
      <c r="A11" s="8" t="s">
        <v>19</v>
      </c>
      <c r="B11" s="279" t="s">
        <v>217</v>
      </c>
      <c r="C11" s="280"/>
      <c r="D11" s="281"/>
    </row>
    <row r="12" spans="1:4" ht="15" thickBot="1">
      <c r="A12" s="9" t="s">
        <v>20</v>
      </c>
      <c r="B12" s="282" t="s">
        <v>278</v>
      </c>
      <c r="C12" s="283"/>
      <c r="D12" s="284"/>
    </row>
    <row r="13" spans="1:4" ht="15" thickBot="1">
      <c r="A13" s="10"/>
      <c r="B13" s="11"/>
      <c r="C13" s="11"/>
      <c r="D13" s="12"/>
    </row>
    <row r="14" spans="1:4" ht="14.4">
      <c r="A14" s="13" t="s">
        <v>21</v>
      </c>
      <c r="B14" s="14" t="s">
        <v>22</v>
      </c>
      <c r="C14" s="15">
        <v>3.4500000000000003E-2</v>
      </c>
      <c r="D14" s="16" t="s">
        <v>37</v>
      </c>
    </row>
    <row r="15" spans="1:4" ht="14.4">
      <c r="A15" s="13" t="s">
        <v>3</v>
      </c>
      <c r="B15" s="14" t="s">
        <v>23</v>
      </c>
      <c r="C15" s="15">
        <v>4.7999999999999996E-3</v>
      </c>
      <c r="D15" s="16" t="s">
        <v>38</v>
      </c>
    </row>
    <row r="16" spans="1:4" ht="14.4">
      <c r="A16" s="13" t="s">
        <v>4</v>
      </c>
      <c r="B16" s="14" t="s">
        <v>24</v>
      </c>
      <c r="C16" s="15">
        <v>8.5000000000000006E-3</v>
      </c>
      <c r="D16" s="16" t="s">
        <v>39</v>
      </c>
    </row>
    <row r="17" spans="1:4" ht="14.4">
      <c r="A17" s="13" t="s">
        <v>11</v>
      </c>
      <c r="B17" s="14" t="s">
        <v>25</v>
      </c>
      <c r="C17" s="15">
        <v>5.11E-2</v>
      </c>
      <c r="D17" s="16" t="s">
        <v>40</v>
      </c>
    </row>
    <row r="18" spans="1:4" ht="14.4">
      <c r="A18" s="13" t="s">
        <v>12</v>
      </c>
      <c r="B18" s="14" t="s">
        <v>26</v>
      </c>
      <c r="C18" s="15">
        <v>8.5000000000000006E-3</v>
      </c>
      <c r="D18" s="16" t="s">
        <v>41</v>
      </c>
    </row>
    <row r="19" spans="1:4" ht="14.4">
      <c r="A19" s="13" t="s">
        <v>15</v>
      </c>
      <c r="B19" s="14" t="s">
        <v>27</v>
      </c>
      <c r="C19" s="15">
        <f>SUM(C20:C23)</f>
        <v>3.6499999999999998E-2</v>
      </c>
      <c r="D19" s="16" t="s">
        <v>18</v>
      </c>
    </row>
    <row r="20" spans="1:4" ht="14.4">
      <c r="A20" s="17" t="s">
        <v>28</v>
      </c>
      <c r="B20" s="14" t="s">
        <v>29</v>
      </c>
      <c r="C20" s="15">
        <v>0</v>
      </c>
      <c r="D20" s="16" t="s">
        <v>42</v>
      </c>
    </row>
    <row r="21" spans="1:4" ht="14.4">
      <c r="A21" s="17" t="s">
        <v>30</v>
      </c>
      <c r="B21" s="14" t="s">
        <v>31</v>
      </c>
      <c r="C21" s="15">
        <v>0.03</v>
      </c>
      <c r="D21" s="16" t="s">
        <v>43</v>
      </c>
    </row>
    <row r="22" spans="1:4" ht="14.4">
      <c r="A22" s="17" t="s">
        <v>32</v>
      </c>
      <c r="B22" s="14" t="s">
        <v>33</v>
      </c>
      <c r="C22" s="15">
        <v>6.4999999999999997E-3</v>
      </c>
      <c r="D22" s="16" t="s">
        <v>44</v>
      </c>
    </row>
    <row r="23" spans="1:4" ht="15" thickBot="1">
      <c r="A23" s="17" t="s">
        <v>34</v>
      </c>
      <c r="B23" s="14" t="s">
        <v>35</v>
      </c>
      <c r="C23" s="15">
        <v>0</v>
      </c>
      <c r="D23" s="16" t="s">
        <v>45</v>
      </c>
    </row>
    <row r="24" spans="1:4" ht="15" thickBot="1">
      <c r="A24" s="10"/>
      <c r="B24" s="11"/>
      <c r="C24" s="11"/>
      <c r="D24" s="18"/>
    </row>
    <row r="25" spans="1:4" ht="15" thickBot="1">
      <c r="A25" s="10"/>
      <c r="B25" s="19" t="s">
        <v>36</v>
      </c>
      <c r="C25" s="20">
        <f>((1+C14+C15+C16)*(1+C17)*(1+C18)/(1-C19)-1)</f>
        <v>0.15278047942916406</v>
      </c>
      <c r="D25" s="18"/>
    </row>
    <row r="26" spans="1:4" ht="14.4">
      <c r="A26" s="21"/>
      <c r="B26" s="22"/>
      <c r="C26" s="22"/>
      <c r="D26" s="23"/>
    </row>
    <row r="27" spans="1:4" ht="13.8">
      <c r="A27" s="24" t="s">
        <v>46</v>
      </c>
      <c r="B27" s="25"/>
      <c r="C27" s="25"/>
      <c r="D27" s="26"/>
    </row>
    <row r="28" spans="1:4" ht="13.8">
      <c r="A28" s="24"/>
      <c r="B28" s="25"/>
      <c r="C28" s="25"/>
      <c r="D28" s="26"/>
    </row>
    <row r="29" spans="1:4" ht="12.75" customHeight="1">
      <c r="A29" s="285" t="s">
        <v>110</v>
      </c>
      <c r="B29" s="286"/>
      <c r="C29" s="286"/>
      <c r="D29" s="287"/>
    </row>
    <row r="30" spans="1:4" ht="12.75" customHeight="1">
      <c r="A30" s="285"/>
      <c r="B30" s="286"/>
      <c r="C30" s="286"/>
      <c r="D30" s="287"/>
    </row>
    <row r="31" spans="1:4" ht="54" customHeight="1" thickBot="1">
      <c r="A31" s="288"/>
      <c r="B31" s="289"/>
      <c r="C31" s="289"/>
      <c r="D31" s="290"/>
    </row>
  </sheetData>
  <mergeCells count="5">
    <mergeCell ref="A9:D9"/>
    <mergeCell ref="A10:D10"/>
    <mergeCell ref="B11:D11"/>
    <mergeCell ref="B12:D12"/>
    <mergeCell ref="A29:D3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horizontalDpi="360" verticalDpi="360" r:id="rId1"/>
  <headerFooter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4AB69-0F48-4EA8-BF87-F211372BC98B}">
  <sheetPr>
    <pageSetUpPr fitToPage="1"/>
  </sheetPr>
  <dimension ref="A1:O104"/>
  <sheetViews>
    <sheetView view="pageBreakPreview" zoomScale="85" zoomScaleNormal="100" zoomScaleSheetLayoutView="85" workbookViewId="0">
      <selection activeCell="A37" sqref="A37:H37"/>
    </sheetView>
  </sheetViews>
  <sheetFormatPr defaultRowHeight="13.2"/>
  <cols>
    <col min="1" max="1" width="9.109375" style="102"/>
    <col min="2" max="2" width="11.109375" customWidth="1"/>
    <col min="3" max="3" width="34.5546875" customWidth="1"/>
    <col min="4" max="4" width="32.44140625" bestFit="1" customWidth="1"/>
    <col min="5" max="5" width="9.6640625" customWidth="1"/>
    <col min="6" max="6" width="10.44140625" bestFit="1" customWidth="1"/>
    <col min="7" max="7" width="11.44140625" bestFit="1" customWidth="1"/>
    <col min="8" max="8" width="13.6640625" bestFit="1" customWidth="1"/>
    <col min="10" max="10" width="9.88671875" customWidth="1"/>
    <col min="11" max="11" width="21.44140625" bestFit="1" customWidth="1"/>
    <col min="12" max="12" width="7" bestFit="1" customWidth="1"/>
    <col min="13" max="13" width="8.6640625" bestFit="1" customWidth="1"/>
    <col min="14" max="14" width="8" bestFit="1" customWidth="1"/>
    <col min="15" max="15" width="10.44140625" bestFit="1" customWidth="1"/>
  </cols>
  <sheetData>
    <row r="1" spans="1:15">
      <c r="A1" s="72"/>
      <c r="B1" s="73"/>
      <c r="C1" s="73"/>
      <c r="D1" s="73"/>
      <c r="E1" s="73"/>
      <c r="F1" s="73"/>
      <c r="G1" s="74"/>
    </row>
    <row r="2" spans="1:15" ht="18.75" customHeight="1">
      <c r="A2" s="317" t="s">
        <v>55</v>
      </c>
      <c r="B2" s="238"/>
      <c r="C2" s="238"/>
      <c r="D2" s="238"/>
      <c r="E2" s="238"/>
      <c r="F2" s="238"/>
      <c r="G2" s="318"/>
      <c r="H2" s="64"/>
      <c r="I2" s="64"/>
      <c r="J2" s="64"/>
      <c r="K2" s="64"/>
      <c r="L2" s="64"/>
      <c r="M2" s="64"/>
      <c r="N2" s="64"/>
      <c r="O2" s="64"/>
    </row>
    <row r="3" spans="1:15" ht="19.5" customHeight="1">
      <c r="A3" s="317" t="s">
        <v>302</v>
      </c>
      <c r="B3" s="238"/>
      <c r="C3" s="238"/>
      <c r="D3" s="238"/>
      <c r="E3" s="238"/>
      <c r="F3" s="238"/>
      <c r="G3" s="318"/>
      <c r="H3" s="64"/>
      <c r="I3" s="64"/>
      <c r="J3" s="64"/>
      <c r="K3" s="75">
        <f>'BDI Geral'!C25</f>
        <v>0.23535496426352442</v>
      </c>
      <c r="L3" s="64"/>
      <c r="M3" s="64"/>
      <c r="N3" s="64"/>
      <c r="O3" s="64"/>
    </row>
    <row r="4" spans="1:15" ht="15" customHeight="1">
      <c r="A4" s="266" t="s">
        <v>56</v>
      </c>
      <c r="B4" s="240"/>
      <c r="C4" s="33"/>
      <c r="D4" s="34" t="s">
        <v>57</v>
      </c>
      <c r="F4" s="33"/>
      <c r="G4" s="76"/>
      <c r="H4" s="33"/>
      <c r="I4" s="33"/>
      <c r="J4" s="309"/>
      <c r="K4" s="309"/>
      <c r="L4" s="309"/>
      <c r="M4" s="309"/>
      <c r="N4" s="309"/>
      <c r="O4" s="309"/>
    </row>
    <row r="5" spans="1:15" ht="45" customHeight="1">
      <c r="A5" s="77"/>
      <c r="B5" s="37"/>
      <c r="C5" s="37"/>
      <c r="D5" s="241" t="s">
        <v>217</v>
      </c>
      <c r="E5" s="242"/>
      <c r="F5" s="310"/>
      <c r="G5" s="68"/>
      <c r="H5" s="68"/>
      <c r="I5" s="78"/>
      <c r="J5" s="78"/>
      <c r="K5" s="309"/>
      <c r="L5" s="309"/>
      <c r="M5" s="309"/>
      <c r="N5" s="309"/>
      <c r="O5" s="309"/>
    </row>
    <row r="6" spans="1:15" ht="15" customHeight="1">
      <c r="A6" s="79"/>
      <c r="C6" s="42"/>
      <c r="D6" s="43"/>
      <c r="F6" s="43"/>
      <c r="G6" s="71"/>
      <c r="K6" s="311"/>
      <c r="L6" s="311"/>
      <c r="M6" s="311"/>
      <c r="N6" s="311"/>
      <c r="O6" s="311"/>
    </row>
    <row r="7" spans="1:15" ht="15" customHeight="1">
      <c r="A7" s="46" t="s">
        <v>58</v>
      </c>
      <c r="B7" s="33"/>
      <c r="C7" s="33"/>
      <c r="D7" s="46" t="s">
        <v>59</v>
      </c>
      <c r="F7" s="33"/>
      <c r="G7" s="76"/>
      <c r="H7" s="33"/>
      <c r="I7" s="33"/>
      <c r="J7" s="33"/>
      <c r="K7" s="311"/>
      <c r="L7" s="311"/>
      <c r="M7" s="311"/>
      <c r="N7" s="311"/>
      <c r="O7" s="311"/>
    </row>
    <row r="8" spans="1:15" ht="15" customHeight="1">
      <c r="A8" s="36"/>
      <c r="B8" s="47"/>
      <c r="C8" s="47"/>
      <c r="D8" s="38" t="s">
        <v>55</v>
      </c>
      <c r="E8" s="39"/>
      <c r="F8" s="39"/>
      <c r="G8" s="68"/>
      <c r="H8" s="68"/>
      <c r="I8" s="78"/>
      <c r="J8" s="78"/>
      <c r="K8" s="309"/>
      <c r="L8" s="309"/>
      <c r="M8" s="309"/>
      <c r="N8" s="309"/>
      <c r="O8" s="309"/>
    </row>
    <row r="9" spans="1:15" ht="15" customHeight="1">
      <c r="A9" s="79"/>
      <c r="G9" s="80"/>
    </row>
    <row r="10" spans="1:15" ht="15" customHeight="1">
      <c r="A10" s="46" t="s">
        <v>82</v>
      </c>
      <c r="B10" s="33"/>
      <c r="C10" s="46" t="s">
        <v>60</v>
      </c>
      <c r="D10" s="48" t="s">
        <v>36</v>
      </c>
      <c r="E10" s="312" t="s">
        <v>62</v>
      </c>
      <c r="F10" s="309"/>
      <c r="G10" s="309"/>
      <c r="H10" s="309"/>
      <c r="L10" s="240"/>
      <c r="M10" s="240"/>
      <c r="N10" s="240"/>
      <c r="O10" s="240"/>
    </row>
    <row r="11" spans="1:15" ht="37.5" customHeight="1">
      <c r="A11" s="50"/>
      <c r="B11" s="39"/>
      <c r="C11" s="126" t="s">
        <v>279</v>
      </c>
      <c r="D11" s="69">
        <f>'BDI Geral'!C25</f>
        <v>0.23535496426352442</v>
      </c>
      <c r="E11" s="313" t="s">
        <v>346</v>
      </c>
      <c r="F11" s="314"/>
      <c r="G11" s="314"/>
      <c r="H11" s="314"/>
      <c r="I11" s="78"/>
      <c r="J11" s="78"/>
      <c r="K11" s="78"/>
      <c r="L11" s="81"/>
      <c r="M11" s="82"/>
      <c r="N11" s="82"/>
      <c r="O11" s="82"/>
    </row>
    <row r="12" spans="1:15" ht="15" customHeight="1">
      <c r="A12" s="315" t="s">
        <v>79</v>
      </c>
      <c r="B12" s="316"/>
      <c r="C12" s="316"/>
      <c r="D12" s="316"/>
      <c r="E12" s="316"/>
      <c r="F12" s="316"/>
      <c r="G12" s="316"/>
      <c r="H12" s="316"/>
      <c r="I12" s="83"/>
      <c r="J12" s="83"/>
      <c r="K12" s="83"/>
      <c r="L12" s="83"/>
      <c r="M12" s="83"/>
      <c r="N12" s="83"/>
      <c r="O12" s="83"/>
    </row>
    <row r="13" spans="1:15" ht="15" customHeight="1">
      <c r="A13" s="315"/>
      <c r="B13" s="316"/>
      <c r="C13" s="316"/>
      <c r="D13" s="316"/>
      <c r="E13" s="316"/>
      <c r="F13" s="316"/>
      <c r="G13" s="316"/>
      <c r="H13" s="316"/>
      <c r="I13" s="83"/>
      <c r="J13" s="83"/>
      <c r="K13" s="83"/>
      <c r="L13" s="83"/>
      <c r="M13" s="83"/>
      <c r="N13" s="83"/>
      <c r="O13" s="83"/>
    </row>
    <row r="14" spans="1:15" ht="15" customHeight="1">
      <c r="A14" s="302" t="s">
        <v>54</v>
      </c>
      <c r="B14" s="303"/>
      <c r="C14" s="303"/>
      <c r="D14" s="303"/>
      <c r="E14" s="303"/>
      <c r="F14" s="303"/>
      <c r="G14" s="303"/>
      <c r="H14" s="303"/>
    </row>
    <row r="15" spans="1:15" ht="38.25" customHeight="1">
      <c r="A15" s="304" t="s">
        <v>280</v>
      </c>
      <c r="B15" s="305"/>
      <c r="C15" s="305"/>
      <c r="D15" s="305"/>
      <c r="E15" s="305"/>
      <c r="F15" s="305"/>
      <c r="G15" s="305"/>
      <c r="H15" s="306"/>
    </row>
    <row r="16" spans="1:15" ht="31.5" customHeight="1">
      <c r="A16" s="307" t="s">
        <v>47</v>
      </c>
      <c r="B16" s="307"/>
      <c r="C16" s="307"/>
      <c r="D16" s="307"/>
      <c r="E16" s="84" t="s">
        <v>48</v>
      </c>
      <c r="F16" s="84" t="s">
        <v>49</v>
      </c>
      <c r="G16" s="84" t="s">
        <v>50</v>
      </c>
      <c r="H16" s="84" t="s">
        <v>51</v>
      </c>
    </row>
    <row r="17" spans="1:8">
      <c r="A17" s="299" t="s">
        <v>52</v>
      </c>
      <c r="B17" s="299"/>
      <c r="C17" s="299"/>
      <c r="D17" s="299"/>
      <c r="E17" s="85"/>
      <c r="F17" s="85"/>
      <c r="G17" s="85"/>
      <c r="H17" s="86"/>
    </row>
    <row r="18" spans="1:8">
      <c r="A18" s="87">
        <v>88309</v>
      </c>
      <c r="B18" s="88" t="s">
        <v>13</v>
      </c>
      <c r="C18" s="300" t="s">
        <v>281</v>
      </c>
      <c r="D18" s="301"/>
      <c r="E18" s="89" t="s">
        <v>83</v>
      </c>
      <c r="F18" s="90">
        <v>0.25</v>
      </c>
      <c r="G18" s="91">
        <v>26.51</v>
      </c>
      <c r="H18" s="91">
        <f>TRUNC(F18*G18,2)</f>
        <v>6.62</v>
      </c>
    </row>
    <row r="19" spans="1:8">
      <c r="A19" s="92"/>
      <c r="B19" s="93"/>
      <c r="C19" s="296"/>
      <c r="D19" s="297"/>
      <c r="E19" s="94"/>
      <c r="F19" s="94"/>
      <c r="G19" s="95" t="s">
        <v>53</v>
      </c>
      <c r="H19" s="27">
        <f>SUM(H18:H18)</f>
        <v>6.62</v>
      </c>
    </row>
    <row r="20" spans="1:8">
      <c r="A20" s="298" t="s">
        <v>84</v>
      </c>
      <c r="B20" s="299"/>
      <c r="C20" s="299"/>
      <c r="D20" s="299"/>
      <c r="E20" s="85"/>
      <c r="F20" s="85"/>
      <c r="G20" s="85"/>
      <c r="H20" s="86"/>
    </row>
    <row r="21" spans="1:8" ht="41.4" customHeight="1">
      <c r="A21" s="87">
        <v>91283</v>
      </c>
      <c r="B21" s="88" t="s">
        <v>13</v>
      </c>
      <c r="C21" s="300" t="s">
        <v>284</v>
      </c>
      <c r="D21" s="301"/>
      <c r="E21" s="89" t="s">
        <v>282</v>
      </c>
      <c r="F21" s="90">
        <v>0.25</v>
      </c>
      <c r="G21" s="96">
        <v>10.06</v>
      </c>
      <c r="H21" s="91">
        <f t="shared" ref="H21:H22" si="0">TRUNC(F21*G21,2)</f>
        <v>2.5099999999999998</v>
      </c>
    </row>
    <row r="22" spans="1:8" ht="46.5" customHeight="1">
      <c r="A22" s="87">
        <v>91285</v>
      </c>
      <c r="B22" s="88" t="s">
        <v>13</v>
      </c>
      <c r="C22" s="300" t="s">
        <v>285</v>
      </c>
      <c r="D22" s="301"/>
      <c r="E22" s="89" t="s">
        <v>283</v>
      </c>
      <c r="F22" s="90">
        <v>0.75</v>
      </c>
      <c r="G22" s="96">
        <v>0.89</v>
      </c>
      <c r="H22" s="91">
        <f t="shared" si="0"/>
        <v>0.66</v>
      </c>
    </row>
    <row r="23" spans="1:8">
      <c r="A23" s="97"/>
      <c r="B23" s="98"/>
      <c r="C23" s="291"/>
      <c r="D23" s="292"/>
      <c r="E23" s="99"/>
      <c r="F23" s="99"/>
      <c r="G23" s="100" t="s">
        <v>53</v>
      </c>
      <c r="H23" s="27">
        <f>SUM(H21:H22)</f>
        <v>3.17</v>
      </c>
    </row>
    <row r="24" spans="1:8" ht="13.2" customHeight="1">
      <c r="A24" s="293" t="s">
        <v>216</v>
      </c>
      <c r="B24" s="294"/>
      <c r="C24" s="294"/>
      <c r="D24" s="294"/>
      <c r="E24" s="294"/>
      <c r="F24" s="294"/>
      <c r="G24" s="295"/>
      <c r="H24" s="101">
        <f>H23+H19</f>
        <v>9.7899999999999991</v>
      </c>
    </row>
    <row r="25" spans="1:8" ht="13.2" customHeight="1">
      <c r="A25" s="308"/>
      <c r="B25" s="308"/>
      <c r="C25" s="308"/>
      <c r="D25" s="308"/>
      <c r="E25" s="308"/>
      <c r="F25" s="308"/>
      <c r="G25" s="308"/>
      <c r="H25" s="308"/>
    </row>
    <row r="26" spans="1:8" ht="15" customHeight="1">
      <c r="A26" s="302" t="s">
        <v>286</v>
      </c>
      <c r="B26" s="303"/>
      <c r="C26" s="303"/>
      <c r="D26" s="303"/>
      <c r="E26" s="303"/>
      <c r="F26" s="303"/>
      <c r="G26" s="303"/>
      <c r="H26" s="303"/>
    </row>
    <row r="27" spans="1:8" ht="38.25" customHeight="1">
      <c r="A27" s="304" t="s">
        <v>363</v>
      </c>
      <c r="B27" s="305"/>
      <c r="C27" s="305"/>
      <c r="D27" s="305"/>
      <c r="E27" s="305"/>
      <c r="F27" s="305"/>
      <c r="G27" s="305"/>
      <c r="H27" s="306"/>
    </row>
    <row r="28" spans="1:8" ht="31.5" customHeight="1">
      <c r="A28" s="307" t="s">
        <v>47</v>
      </c>
      <c r="B28" s="307"/>
      <c r="C28" s="307"/>
      <c r="D28" s="307"/>
      <c r="E28" s="84" t="s">
        <v>48</v>
      </c>
      <c r="F28" s="84" t="s">
        <v>49</v>
      </c>
      <c r="G28" s="84" t="s">
        <v>50</v>
      </c>
      <c r="H28" s="84" t="s">
        <v>51</v>
      </c>
    </row>
    <row r="29" spans="1:8">
      <c r="A29" s="299" t="s">
        <v>52</v>
      </c>
      <c r="B29" s="299"/>
      <c r="C29" s="299"/>
      <c r="D29" s="299"/>
      <c r="E29" s="85"/>
      <c r="F29" s="85"/>
      <c r="G29" s="85"/>
      <c r="H29" s="86"/>
    </row>
    <row r="30" spans="1:8">
      <c r="A30" s="87">
        <v>88323</v>
      </c>
      <c r="B30" s="88" t="s">
        <v>13</v>
      </c>
      <c r="C30" s="300" t="s">
        <v>293</v>
      </c>
      <c r="D30" s="301"/>
      <c r="E30" s="89" t="s">
        <v>83</v>
      </c>
      <c r="F30" s="90">
        <v>1</v>
      </c>
      <c r="G30" s="91">
        <v>25.87</v>
      </c>
      <c r="H30" s="91">
        <f>TRUNC(F30*G30,2)</f>
        <v>25.87</v>
      </c>
    </row>
    <row r="31" spans="1:8">
      <c r="A31" s="92"/>
      <c r="B31" s="93"/>
      <c r="C31" s="296"/>
      <c r="D31" s="297"/>
      <c r="E31" s="94"/>
      <c r="F31" s="94"/>
      <c r="G31" s="95" t="s">
        <v>53</v>
      </c>
      <c r="H31" s="27">
        <f>SUM(H30:H30)</f>
        <v>25.87</v>
      </c>
    </row>
    <row r="32" spans="1:8">
      <c r="A32" s="298" t="s">
        <v>84</v>
      </c>
      <c r="B32" s="299"/>
      <c r="C32" s="299"/>
      <c r="D32" s="299"/>
      <c r="E32" s="85"/>
      <c r="F32" s="85"/>
      <c r="G32" s="85"/>
      <c r="H32" s="86"/>
    </row>
    <row r="33" spans="1:8">
      <c r="A33" s="87" t="s">
        <v>297</v>
      </c>
      <c r="B33" s="88" t="s">
        <v>298</v>
      </c>
      <c r="C33" s="300" t="s">
        <v>362</v>
      </c>
      <c r="D33" s="301"/>
      <c r="E33" s="89" t="s">
        <v>294</v>
      </c>
      <c r="F33" s="90">
        <v>1</v>
      </c>
      <c r="G33" s="96">
        <f>(82+64.5)/2</f>
        <v>73.25</v>
      </c>
      <c r="H33" s="91">
        <f t="shared" ref="H33" si="1">TRUNC(F33*G33,2)</f>
        <v>73.25</v>
      </c>
    </row>
    <row r="34" spans="1:8">
      <c r="A34" s="97"/>
      <c r="B34" s="98"/>
      <c r="C34" s="291"/>
      <c r="D34" s="292"/>
      <c r="E34" s="99"/>
      <c r="F34" s="99"/>
      <c r="G34" s="100" t="s">
        <v>53</v>
      </c>
      <c r="H34" s="27">
        <f>SUM(H33:H33)</f>
        <v>73.25</v>
      </c>
    </row>
    <row r="35" spans="1:8" ht="13.2" customHeight="1">
      <c r="A35" s="293" t="s">
        <v>216</v>
      </c>
      <c r="B35" s="294"/>
      <c r="C35" s="294"/>
      <c r="D35" s="294"/>
      <c r="E35" s="294"/>
      <c r="F35" s="294"/>
      <c r="G35" s="295"/>
      <c r="H35" s="101">
        <f>H34+H31</f>
        <v>99.12</v>
      </c>
    </row>
    <row r="36" spans="1:8" ht="64.2" customHeight="1">
      <c r="A36" s="339" t="s">
        <v>365</v>
      </c>
      <c r="B36" s="339"/>
      <c r="C36" s="339"/>
      <c r="D36" s="339"/>
      <c r="E36" s="339"/>
      <c r="F36" s="339"/>
      <c r="G36" s="339"/>
      <c r="H36" s="339"/>
    </row>
    <row r="37" spans="1:8" ht="15" customHeight="1">
      <c r="A37" s="302" t="s">
        <v>287</v>
      </c>
      <c r="B37" s="303"/>
      <c r="C37" s="303"/>
      <c r="D37" s="303"/>
      <c r="E37" s="303"/>
      <c r="F37" s="303"/>
      <c r="G37" s="303"/>
      <c r="H37" s="303"/>
    </row>
    <row r="38" spans="1:8" ht="38.25" customHeight="1">
      <c r="A38" s="304" t="s">
        <v>356</v>
      </c>
      <c r="B38" s="305"/>
      <c r="C38" s="305"/>
      <c r="D38" s="305"/>
      <c r="E38" s="305"/>
      <c r="F38" s="305"/>
      <c r="G38" s="305"/>
      <c r="H38" s="306"/>
    </row>
    <row r="39" spans="1:8" ht="31.5" customHeight="1">
      <c r="A39" s="307" t="s">
        <v>47</v>
      </c>
      <c r="B39" s="307"/>
      <c r="C39" s="307"/>
      <c r="D39" s="307"/>
      <c r="E39" s="84" t="s">
        <v>48</v>
      </c>
      <c r="F39" s="84" t="s">
        <v>49</v>
      </c>
      <c r="G39" s="84" t="s">
        <v>50</v>
      </c>
      <c r="H39" s="84" t="s">
        <v>51</v>
      </c>
    </row>
    <row r="40" spans="1:8">
      <c r="A40" s="299" t="s">
        <v>52</v>
      </c>
      <c r="B40" s="299"/>
      <c r="C40" s="299"/>
      <c r="D40" s="299"/>
      <c r="E40" s="85"/>
      <c r="F40" s="85"/>
      <c r="G40" s="85"/>
      <c r="H40" s="86"/>
    </row>
    <row r="41" spans="1:8">
      <c r="A41" s="87">
        <v>88315</v>
      </c>
      <c r="B41" s="88" t="s">
        <v>13</v>
      </c>
      <c r="C41" s="300" t="s">
        <v>104</v>
      </c>
      <c r="D41" s="301"/>
      <c r="E41" s="89" t="s">
        <v>83</v>
      </c>
      <c r="F41" s="90">
        <v>6.87</v>
      </c>
      <c r="G41" s="91">
        <v>26.31</v>
      </c>
      <c r="H41" s="91">
        <f>TRUNC(F41*G41,2)</f>
        <v>180.74</v>
      </c>
    </row>
    <row r="42" spans="1:8">
      <c r="A42" s="92"/>
      <c r="B42" s="93"/>
      <c r="C42" s="296"/>
      <c r="D42" s="297"/>
      <c r="E42" s="94"/>
      <c r="F42" s="94"/>
      <c r="G42" s="95" t="s">
        <v>53</v>
      </c>
      <c r="H42" s="27">
        <f>SUM(H41:H41)</f>
        <v>180.74</v>
      </c>
    </row>
    <row r="43" spans="1:8">
      <c r="A43" s="298" t="s">
        <v>84</v>
      </c>
      <c r="B43" s="299"/>
      <c r="C43" s="299"/>
      <c r="D43" s="299"/>
      <c r="E43" s="85"/>
      <c r="F43" s="85"/>
      <c r="G43" s="85"/>
      <c r="H43" s="86"/>
    </row>
    <row r="44" spans="1:8" ht="27" customHeight="1">
      <c r="A44" s="87">
        <v>7696</v>
      </c>
      <c r="B44" s="88" t="s">
        <v>13</v>
      </c>
      <c r="C44" s="300" t="s">
        <v>189</v>
      </c>
      <c r="D44" s="301"/>
      <c r="E44" s="89" t="s">
        <v>1</v>
      </c>
      <c r="F44" s="90">
        <f>1.8+1.8+1.5+1.5+1.5</f>
        <v>8.1</v>
      </c>
      <c r="G44" s="96">
        <v>66.650000000000006</v>
      </c>
      <c r="H44" s="91">
        <f t="shared" ref="H44:H48" si="2">TRUNC(F44*G44,2)</f>
        <v>539.86</v>
      </c>
    </row>
    <row r="45" spans="1:8" ht="46.5" customHeight="1">
      <c r="A45" s="87">
        <v>100722</v>
      </c>
      <c r="B45" s="88" t="s">
        <v>13</v>
      </c>
      <c r="C45" s="300" t="s">
        <v>105</v>
      </c>
      <c r="D45" s="301"/>
      <c r="E45" s="89" t="s">
        <v>2</v>
      </c>
      <c r="F45" s="90">
        <v>1.1599999999999999</v>
      </c>
      <c r="G45" s="96">
        <v>23.8</v>
      </c>
      <c r="H45" s="91">
        <f t="shared" si="2"/>
        <v>27.6</v>
      </c>
    </row>
    <row r="46" spans="1:8" ht="39" customHeight="1">
      <c r="A46" s="87">
        <v>100745</v>
      </c>
      <c r="B46" s="88" t="s">
        <v>13</v>
      </c>
      <c r="C46" s="300" t="s">
        <v>106</v>
      </c>
      <c r="D46" s="301"/>
      <c r="E46" s="89" t="s">
        <v>2</v>
      </c>
      <c r="F46" s="90">
        <v>1.1599999999999999</v>
      </c>
      <c r="G46" s="96">
        <v>24.67</v>
      </c>
      <c r="H46" s="91">
        <f t="shared" si="2"/>
        <v>28.61</v>
      </c>
    </row>
    <row r="47" spans="1:8" ht="39" customHeight="1">
      <c r="A47" s="87">
        <v>11484</v>
      </c>
      <c r="B47" s="88" t="s">
        <v>13</v>
      </c>
      <c r="C47" s="300" t="s">
        <v>107</v>
      </c>
      <c r="D47" s="301"/>
      <c r="E47" s="89" t="s">
        <v>103</v>
      </c>
      <c r="F47" s="90">
        <v>1</v>
      </c>
      <c r="G47" s="96">
        <v>63.26</v>
      </c>
      <c r="H47" s="91">
        <f t="shared" ref="H47" si="3">TRUNC(F47*G47,2)</f>
        <v>63.26</v>
      </c>
    </row>
    <row r="48" spans="1:8" ht="27" customHeight="1">
      <c r="A48" s="87">
        <v>7162</v>
      </c>
      <c r="B48" s="88" t="s">
        <v>13</v>
      </c>
      <c r="C48" s="300" t="s">
        <v>188</v>
      </c>
      <c r="D48" s="301"/>
      <c r="E48" s="89" t="s">
        <v>2</v>
      </c>
      <c r="F48" s="90">
        <f>1.8*1.5</f>
        <v>2.7</v>
      </c>
      <c r="G48" s="96">
        <v>79.62</v>
      </c>
      <c r="H48" s="96">
        <f t="shared" si="2"/>
        <v>214.97</v>
      </c>
    </row>
    <row r="49" spans="1:8">
      <c r="A49" s="97"/>
      <c r="B49" s="98"/>
      <c r="C49" s="291"/>
      <c r="D49" s="292"/>
      <c r="E49" s="99"/>
      <c r="F49" s="99"/>
      <c r="G49" s="100" t="s">
        <v>53</v>
      </c>
      <c r="H49" s="27">
        <f>SUM(H44:H48)</f>
        <v>874.30000000000007</v>
      </c>
    </row>
    <row r="50" spans="1:8" ht="13.2" customHeight="1">
      <c r="A50" s="293" t="s">
        <v>216</v>
      </c>
      <c r="B50" s="294"/>
      <c r="C50" s="294"/>
      <c r="D50" s="294"/>
      <c r="E50" s="294"/>
      <c r="F50" s="294"/>
      <c r="G50" s="295"/>
      <c r="H50" s="101">
        <f>H49+H42</f>
        <v>1055.04</v>
      </c>
    </row>
    <row r="51" spans="1:8" ht="13.2" customHeight="1">
      <c r="A51" s="308"/>
      <c r="B51" s="308"/>
      <c r="C51" s="308"/>
      <c r="D51" s="308"/>
      <c r="E51" s="308"/>
      <c r="F51" s="308"/>
      <c r="G51" s="308"/>
      <c r="H51" s="308"/>
    </row>
    <row r="52" spans="1:8" ht="15" customHeight="1">
      <c r="A52" s="302" t="s">
        <v>288</v>
      </c>
      <c r="B52" s="303"/>
      <c r="C52" s="303"/>
      <c r="D52" s="303"/>
      <c r="E52" s="303"/>
      <c r="F52" s="303"/>
      <c r="G52" s="303"/>
      <c r="H52" s="303"/>
    </row>
    <row r="53" spans="1:8" ht="38.25" customHeight="1">
      <c r="A53" s="304" t="s">
        <v>295</v>
      </c>
      <c r="B53" s="305"/>
      <c r="C53" s="305"/>
      <c r="D53" s="305"/>
      <c r="E53" s="305"/>
      <c r="F53" s="305"/>
      <c r="G53" s="305"/>
      <c r="H53" s="306"/>
    </row>
    <row r="54" spans="1:8" ht="31.5" customHeight="1">
      <c r="A54" s="307" t="s">
        <v>47</v>
      </c>
      <c r="B54" s="307"/>
      <c r="C54" s="307"/>
      <c r="D54" s="307"/>
      <c r="E54" s="84" t="s">
        <v>48</v>
      </c>
      <c r="F54" s="84" t="s">
        <v>49</v>
      </c>
      <c r="G54" s="84" t="s">
        <v>50</v>
      </c>
      <c r="H54" s="84" t="s">
        <v>51</v>
      </c>
    </row>
    <row r="55" spans="1:8">
      <c r="A55" s="299" t="s">
        <v>52</v>
      </c>
      <c r="B55" s="299"/>
      <c r="C55" s="299"/>
      <c r="D55" s="299"/>
      <c r="E55" s="85"/>
      <c r="F55" s="85"/>
      <c r="G55" s="85"/>
      <c r="H55" s="86"/>
    </row>
    <row r="56" spans="1:8">
      <c r="A56" s="87">
        <v>88309</v>
      </c>
      <c r="B56" s="88" t="s">
        <v>13</v>
      </c>
      <c r="C56" s="300" t="s">
        <v>281</v>
      </c>
      <c r="D56" s="301"/>
      <c r="E56" s="89" t="s">
        <v>83</v>
      </c>
      <c r="F56" s="90">
        <v>0.25</v>
      </c>
      <c r="G56" s="91">
        <v>26.51</v>
      </c>
      <c r="H56" s="91">
        <f>TRUNC(F56*G56,2)</f>
        <v>6.62</v>
      </c>
    </row>
    <row r="57" spans="1:8">
      <c r="A57" s="92"/>
      <c r="B57" s="93"/>
      <c r="C57" s="296"/>
      <c r="D57" s="297"/>
      <c r="E57" s="94"/>
      <c r="F57" s="94"/>
      <c r="G57" s="95" t="s">
        <v>53</v>
      </c>
      <c r="H57" s="27">
        <f>SUM(H56:H56)</f>
        <v>6.62</v>
      </c>
    </row>
    <row r="58" spans="1:8">
      <c r="A58" s="298" t="s">
        <v>84</v>
      </c>
      <c r="B58" s="299"/>
      <c r="C58" s="299"/>
      <c r="D58" s="299"/>
      <c r="E58" s="85"/>
      <c r="F58" s="85"/>
      <c r="G58" s="85"/>
      <c r="H58" s="86"/>
    </row>
    <row r="59" spans="1:8" ht="41.4" customHeight="1">
      <c r="A59" s="87">
        <v>25398</v>
      </c>
      <c r="B59" s="88" t="s">
        <v>13</v>
      </c>
      <c r="C59" s="300" t="s">
        <v>292</v>
      </c>
      <c r="D59" s="301"/>
      <c r="E59" s="89" t="s">
        <v>296</v>
      </c>
      <c r="F59" s="90">
        <v>1</v>
      </c>
      <c r="G59" s="96">
        <v>4291.18</v>
      </c>
      <c r="H59" s="91">
        <f t="shared" ref="H59" si="4">TRUNC(F59*G59,2)</f>
        <v>4291.18</v>
      </c>
    </row>
    <row r="60" spans="1:8">
      <c r="A60" s="97"/>
      <c r="B60" s="98"/>
      <c r="C60" s="291"/>
      <c r="D60" s="292"/>
      <c r="E60" s="99"/>
      <c r="F60" s="99"/>
      <c r="G60" s="100" t="s">
        <v>53</v>
      </c>
      <c r="H60" s="27">
        <f>SUM(H59:H59)</f>
        <v>4291.18</v>
      </c>
    </row>
    <row r="61" spans="1:8" ht="13.2" customHeight="1">
      <c r="A61" s="293" t="s">
        <v>216</v>
      </c>
      <c r="B61" s="294"/>
      <c r="C61" s="294"/>
      <c r="D61" s="294"/>
      <c r="E61" s="294"/>
      <c r="F61" s="294"/>
      <c r="G61" s="295"/>
      <c r="H61" s="101">
        <f>H60+H57</f>
        <v>4297.8</v>
      </c>
    </row>
    <row r="62" spans="1:8" ht="13.2" customHeight="1">
      <c r="A62" s="308"/>
      <c r="B62" s="308"/>
      <c r="C62" s="308"/>
      <c r="D62" s="308"/>
      <c r="E62" s="308"/>
      <c r="F62" s="308"/>
      <c r="G62" s="308"/>
      <c r="H62" s="308"/>
    </row>
    <row r="63" spans="1:8" ht="13.2" customHeight="1">
      <c r="A63" s="308"/>
      <c r="B63" s="308"/>
      <c r="C63" s="308"/>
      <c r="D63" s="308"/>
      <c r="E63" s="308"/>
      <c r="F63" s="308"/>
      <c r="G63" s="308"/>
      <c r="H63" s="308"/>
    </row>
    <row r="64" spans="1:8" ht="15" customHeight="1">
      <c r="A64" s="302" t="s">
        <v>289</v>
      </c>
      <c r="B64" s="303"/>
      <c r="C64" s="303"/>
      <c r="D64" s="303"/>
      <c r="E64" s="303"/>
      <c r="F64" s="303"/>
      <c r="G64" s="303"/>
      <c r="H64" s="303"/>
    </row>
    <row r="65" spans="1:8" ht="38.25" customHeight="1">
      <c r="A65" s="304" t="s">
        <v>299</v>
      </c>
      <c r="B65" s="305"/>
      <c r="C65" s="305"/>
      <c r="D65" s="305"/>
      <c r="E65" s="305"/>
      <c r="F65" s="305"/>
      <c r="G65" s="305"/>
      <c r="H65" s="306"/>
    </row>
    <row r="66" spans="1:8" ht="31.5" customHeight="1">
      <c r="A66" s="307" t="s">
        <v>47</v>
      </c>
      <c r="B66" s="307"/>
      <c r="C66" s="307"/>
      <c r="D66" s="307"/>
      <c r="E66" s="84" t="s">
        <v>48</v>
      </c>
      <c r="F66" s="84" t="s">
        <v>49</v>
      </c>
      <c r="G66" s="84" t="s">
        <v>50</v>
      </c>
      <c r="H66" s="84" t="s">
        <v>51</v>
      </c>
    </row>
    <row r="67" spans="1:8">
      <c r="A67" s="299" t="s">
        <v>52</v>
      </c>
      <c r="B67" s="299"/>
      <c r="C67" s="299"/>
      <c r="D67" s="299"/>
      <c r="E67" s="85"/>
      <c r="F67" s="85"/>
      <c r="G67" s="85"/>
      <c r="H67" s="86"/>
    </row>
    <row r="68" spans="1:8">
      <c r="A68" s="87">
        <v>88309</v>
      </c>
      <c r="B68" s="88" t="s">
        <v>13</v>
      </c>
      <c r="C68" s="300" t="s">
        <v>281</v>
      </c>
      <c r="D68" s="301"/>
      <c r="E68" s="89" t="s">
        <v>83</v>
      </c>
      <c r="F68" s="90">
        <v>0.25</v>
      </c>
      <c r="G68" s="91">
        <v>26.51</v>
      </c>
      <c r="H68" s="91">
        <f>TRUNC(F68*G68,2)</f>
        <v>6.62</v>
      </c>
    </row>
    <row r="69" spans="1:8">
      <c r="A69" s="92"/>
      <c r="B69" s="93"/>
      <c r="C69" s="296"/>
      <c r="D69" s="297"/>
      <c r="E69" s="94"/>
      <c r="F69" s="94"/>
      <c r="G69" s="95" t="s">
        <v>53</v>
      </c>
      <c r="H69" s="27">
        <f>SUM(H68:H68)</f>
        <v>6.62</v>
      </c>
    </row>
    <row r="70" spans="1:8">
      <c r="A70" s="298" t="s">
        <v>84</v>
      </c>
      <c r="B70" s="299"/>
      <c r="C70" s="299"/>
      <c r="D70" s="299"/>
      <c r="E70" s="85"/>
      <c r="F70" s="85"/>
      <c r="G70" s="85"/>
      <c r="H70" s="86"/>
    </row>
    <row r="71" spans="1:8" ht="41.4" customHeight="1">
      <c r="A71" s="87">
        <v>25399</v>
      </c>
      <c r="B71" s="88" t="s">
        <v>13</v>
      </c>
      <c r="C71" s="300" t="s">
        <v>291</v>
      </c>
      <c r="D71" s="301"/>
      <c r="E71" s="89" t="s">
        <v>296</v>
      </c>
      <c r="F71" s="90">
        <v>1</v>
      </c>
      <c r="G71" s="96">
        <v>2605.12</v>
      </c>
      <c r="H71" s="91">
        <f t="shared" ref="H71" si="5">TRUNC(F71*G71,2)</f>
        <v>2605.12</v>
      </c>
    </row>
    <row r="72" spans="1:8">
      <c r="A72" s="97"/>
      <c r="B72" s="98"/>
      <c r="C72" s="291"/>
      <c r="D72" s="292"/>
      <c r="E72" s="99"/>
      <c r="F72" s="99"/>
      <c r="G72" s="100" t="s">
        <v>53</v>
      </c>
      <c r="H72" s="27">
        <f>SUM(H71:H71)</f>
        <v>2605.12</v>
      </c>
    </row>
    <row r="73" spans="1:8" ht="13.2" customHeight="1">
      <c r="A73" s="293" t="s">
        <v>216</v>
      </c>
      <c r="B73" s="294"/>
      <c r="C73" s="294"/>
      <c r="D73" s="294"/>
      <c r="E73" s="294"/>
      <c r="F73" s="294"/>
      <c r="G73" s="295"/>
      <c r="H73" s="101">
        <f>H72+H69</f>
        <v>2611.7399999999998</v>
      </c>
    </row>
    <row r="74" spans="1:8" ht="13.2" customHeight="1">
      <c r="A74" s="308"/>
      <c r="B74" s="308"/>
      <c r="C74" s="308"/>
      <c r="D74" s="308"/>
      <c r="E74" s="308"/>
      <c r="F74" s="308"/>
      <c r="G74" s="308"/>
      <c r="H74" s="308"/>
    </row>
    <row r="75" spans="1:8" ht="13.2" customHeight="1">
      <c r="A75" s="308"/>
      <c r="B75" s="308"/>
      <c r="C75" s="308"/>
      <c r="D75" s="308"/>
      <c r="E75" s="308"/>
      <c r="F75" s="308"/>
      <c r="G75" s="308"/>
      <c r="H75" s="308"/>
    </row>
    <row r="76" spans="1:8" ht="15" customHeight="1">
      <c r="A76" s="302" t="s">
        <v>290</v>
      </c>
      <c r="B76" s="303"/>
      <c r="C76" s="303"/>
      <c r="D76" s="303"/>
      <c r="E76" s="303"/>
      <c r="F76" s="303"/>
      <c r="G76" s="303"/>
      <c r="H76" s="303"/>
    </row>
    <row r="77" spans="1:8" ht="38.25" customHeight="1">
      <c r="A77" s="304" t="s">
        <v>361</v>
      </c>
      <c r="B77" s="305"/>
      <c r="C77" s="305"/>
      <c r="D77" s="305"/>
      <c r="E77" s="305"/>
      <c r="F77" s="305"/>
      <c r="G77" s="305"/>
      <c r="H77" s="306"/>
    </row>
    <row r="78" spans="1:8" ht="31.5" customHeight="1">
      <c r="A78" s="307" t="s">
        <v>47</v>
      </c>
      <c r="B78" s="307"/>
      <c r="C78" s="307"/>
      <c r="D78" s="307"/>
      <c r="E78" s="84" t="s">
        <v>48</v>
      </c>
      <c r="F78" s="84" t="s">
        <v>49</v>
      </c>
      <c r="G78" s="84" t="s">
        <v>50</v>
      </c>
      <c r="H78" s="84" t="s">
        <v>51</v>
      </c>
    </row>
    <row r="79" spans="1:8">
      <c r="A79" s="299" t="s">
        <v>52</v>
      </c>
      <c r="B79" s="299"/>
      <c r="C79" s="299"/>
      <c r="D79" s="299"/>
      <c r="E79" s="85"/>
      <c r="F79" s="85"/>
      <c r="G79" s="85"/>
      <c r="H79" s="86"/>
    </row>
    <row r="80" spans="1:8">
      <c r="A80" s="87">
        <v>88264</v>
      </c>
      <c r="B80" s="88" t="s">
        <v>13</v>
      </c>
      <c r="C80" s="300" t="s">
        <v>300</v>
      </c>
      <c r="D80" s="301"/>
      <c r="E80" s="89" t="s">
        <v>83</v>
      </c>
      <c r="F80" s="90">
        <v>0.5</v>
      </c>
      <c r="G80" s="91">
        <v>26.84</v>
      </c>
      <c r="H80" s="91">
        <f>TRUNC(F80*G80,2)</f>
        <v>13.42</v>
      </c>
    </row>
    <row r="81" spans="1:8">
      <c r="A81" s="87">
        <v>88247</v>
      </c>
      <c r="B81" s="88" t="s">
        <v>13</v>
      </c>
      <c r="C81" s="300" t="s">
        <v>301</v>
      </c>
      <c r="D81" s="301"/>
      <c r="E81" s="89" t="s">
        <v>83</v>
      </c>
      <c r="F81" s="90">
        <v>0.3</v>
      </c>
      <c r="G81" s="91">
        <v>22.65</v>
      </c>
      <c r="H81" s="91">
        <f>TRUNC(F81*G81,2)</f>
        <v>6.79</v>
      </c>
    </row>
    <row r="82" spans="1:8">
      <c r="A82" s="92"/>
      <c r="B82" s="93"/>
      <c r="C82" s="296"/>
      <c r="D82" s="297"/>
      <c r="E82" s="94"/>
      <c r="F82" s="94"/>
      <c r="G82" s="95" t="s">
        <v>53</v>
      </c>
      <c r="H82" s="27">
        <f>SUM(H80:H81)</f>
        <v>20.21</v>
      </c>
    </row>
    <row r="83" spans="1:8">
      <c r="A83" s="298" t="s">
        <v>84</v>
      </c>
      <c r="B83" s="299"/>
      <c r="C83" s="299"/>
      <c r="D83" s="299"/>
      <c r="E83" s="85"/>
      <c r="F83" s="85"/>
      <c r="G83" s="85"/>
      <c r="H83" s="86"/>
    </row>
    <row r="84" spans="1:8">
      <c r="A84" s="87" t="s">
        <v>297</v>
      </c>
      <c r="B84" s="88" t="s">
        <v>298</v>
      </c>
      <c r="C84" s="300" t="s">
        <v>349</v>
      </c>
      <c r="D84" s="301"/>
      <c r="E84" s="89" t="s">
        <v>296</v>
      </c>
      <c r="F84" s="90">
        <v>1</v>
      </c>
      <c r="G84" s="96">
        <v>207.25</v>
      </c>
      <c r="H84" s="91">
        <f t="shared" ref="H84" si="6">TRUNC(F84*G84,2)</f>
        <v>207.25</v>
      </c>
    </row>
    <row r="85" spans="1:8">
      <c r="A85" s="97"/>
      <c r="B85" s="98"/>
      <c r="C85" s="291"/>
      <c r="D85" s="292"/>
      <c r="E85" s="99"/>
      <c r="F85" s="99"/>
      <c r="G85" s="100" t="s">
        <v>53</v>
      </c>
      <c r="H85" s="27">
        <f>SUM(H84:H84)</f>
        <v>207.25</v>
      </c>
    </row>
    <row r="86" spans="1:8" ht="13.2" customHeight="1">
      <c r="A86" s="293" t="s">
        <v>216</v>
      </c>
      <c r="B86" s="294"/>
      <c r="C86" s="294"/>
      <c r="D86" s="294"/>
      <c r="E86" s="294"/>
      <c r="F86" s="294"/>
      <c r="G86" s="295"/>
      <c r="H86" s="101">
        <f>H85+H82</f>
        <v>227.46</v>
      </c>
    </row>
    <row r="87" spans="1:8" ht="47.4" customHeight="1">
      <c r="A87" s="339" t="s">
        <v>364</v>
      </c>
      <c r="B87" s="339"/>
      <c r="C87" s="339"/>
      <c r="D87" s="339"/>
      <c r="E87" s="339"/>
      <c r="F87" s="339"/>
      <c r="G87" s="339"/>
      <c r="H87" s="339"/>
    </row>
    <row r="88" spans="1:8" ht="15" customHeight="1">
      <c r="A88" s="302" t="s">
        <v>333</v>
      </c>
      <c r="B88" s="303"/>
      <c r="C88" s="303"/>
      <c r="D88" s="303"/>
      <c r="E88" s="303"/>
      <c r="F88" s="303"/>
      <c r="G88" s="303"/>
      <c r="H88" s="303"/>
    </row>
    <row r="89" spans="1:8" ht="38.25" customHeight="1">
      <c r="A89" s="304" t="s">
        <v>334</v>
      </c>
      <c r="B89" s="305"/>
      <c r="C89" s="305"/>
      <c r="D89" s="305"/>
      <c r="E89" s="305"/>
      <c r="F89" s="305"/>
      <c r="G89" s="305"/>
      <c r="H89" s="306"/>
    </row>
    <row r="90" spans="1:8" ht="31.5" customHeight="1">
      <c r="A90" s="307" t="s">
        <v>47</v>
      </c>
      <c r="B90" s="307"/>
      <c r="C90" s="307"/>
      <c r="D90" s="307"/>
      <c r="E90" s="84" t="s">
        <v>48</v>
      </c>
      <c r="F90" s="84" t="s">
        <v>49</v>
      </c>
      <c r="G90" s="84" t="s">
        <v>50</v>
      </c>
      <c r="H90" s="84" t="s">
        <v>51</v>
      </c>
    </row>
    <row r="91" spans="1:8">
      <c r="A91" s="299" t="s">
        <v>52</v>
      </c>
      <c r="B91" s="299"/>
      <c r="C91" s="299"/>
      <c r="D91" s="299"/>
      <c r="E91" s="85"/>
      <c r="F91" s="85"/>
      <c r="G91" s="85"/>
      <c r="H91" s="86"/>
    </row>
    <row r="92" spans="1:8" ht="22.8" customHeight="1">
      <c r="A92" s="87">
        <v>100716</v>
      </c>
      <c r="B92" s="88" t="s">
        <v>13</v>
      </c>
      <c r="C92" s="300" t="s">
        <v>336</v>
      </c>
      <c r="D92" s="301"/>
      <c r="E92" s="89" t="s">
        <v>2</v>
      </c>
      <c r="F92" s="90">
        <v>7.8899999999999998E-2</v>
      </c>
      <c r="G92" s="91">
        <v>27.88</v>
      </c>
      <c r="H92" s="91">
        <f>TRUNC(F92*G92,2)</f>
        <v>2.19</v>
      </c>
    </row>
    <row r="93" spans="1:8" ht="25.8" customHeight="1">
      <c r="A93" s="87">
        <v>100719</v>
      </c>
      <c r="B93" s="88" t="s">
        <v>13</v>
      </c>
      <c r="C93" s="300" t="s">
        <v>337</v>
      </c>
      <c r="D93" s="301"/>
      <c r="E93" s="89" t="s">
        <v>2</v>
      </c>
      <c r="F93" s="90">
        <v>7.8899999999999998E-2</v>
      </c>
      <c r="G93" s="91">
        <v>11.67</v>
      </c>
      <c r="H93" s="91">
        <f t="shared" ref="H93:H98" si="7">TRUNC(F93*G93,2)</f>
        <v>0.92</v>
      </c>
    </row>
    <row r="94" spans="1:8">
      <c r="A94" s="87">
        <v>88240</v>
      </c>
      <c r="B94" s="88" t="s">
        <v>13</v>
      </c>
      <c r="C94" s="300" t="s">
        <v>338</v>
      </c>
      <c r="D94" s="301"/>
      <c r="E94" s="89" t="s">
        <v>335</v>
      </c>
      <c r="F94" s="90">
        <v>8.0000000000000004E-4</v>
      </c>
      <c r="G94" s="91">
        <v>21.05</v>
      </c>
      <c r="H94" s="91">
        <f t="shared" si="7"/>
        <v>0.01</v>
      </c>
    </row>
    <row r="95" spans="1:8">
      <c r="A95" s="87">
        <v>88278</v>
      </c>
      <c r="B95" s="88" t="s">
        <v>13</v>
      </c>
      <c r="C95" s="300" t="s">
        <v>339</v>
      </c>
      <c r="D95" s="301"/>
      <c r="E95" s="89" t="s">
        <v>335</v>
      </c>
      <c r="F95" s="90">
        <v>2.3699999999999999E-2</v>
      </c>
      <c r="G95" s="91">
        <v>28.84</v>
      </c>
      <c r="H95" s="91">
        <f t="shared" si="7"/>
        <v>0.68</v>
      </c>
    </row>
    <row r="96" spans="1:8">
      <c r="A96" s="87">
        <v>88317</v>
      </c>
      <c r="B96" s="88" t="s">
        <v>13</v>
      </c>
      <c r="C96" s="300" t="s">
        <v>340</v>
      </c>
      <c r="D96" s="301"/>
      <c r="E96" s="89" t="s">
        <v>335</v>
      </c>
      <c r="F96" s="90">
        <v>5.0000000000000001E-3</v>
      </c>
      <c r="G96" s="91">
        <v>27.15</v>
      </c>
      <c r="H96" s="91">
        <f t="shared" si="7"/>
        <v>0.13</v>
      </c>
    </row>
    <row r="97" spans="1:8" ht="29.4" customHeight="1">
      <c r="A97" s="87">
        <v>93287</v>
      </c>
      <c r="B97" s="88" t="s">
        <v>13</v>
      </c>
      <c r="C97" s="300" t="s">
        <v>341</v>
      </c>
      <c r="D97" s="301"/>
      <c r="E97" s="89" t="s">
        <v>282</v>
      </c>
      <c r="F97" s="90">
        <v>6.9999999999999999E-4</v>
      </c>
      <c r="G97" s="91">
        <v>356.6</v>
      </c>
      <c r="H97" s="91">
        <f t="shared" si="7"/>
        <v>0.24</v>
      </c>
    </row>
    <row r="98" spans="1:8" ht="24" customHeight="1">
      <c r="A98" s="87">
        <v>93288</v>
      </c>
      <c r="B98" s="88" t="s">
        <v>13</v>
      </c>
      <c r="C98" s="300" t="s">
        <v>342</v>
      </c>
      <c r="D98" s="301"/>
      <c r="E98" s="89" t="s">
        <v>283</v>
      </c>
      <c r="F98" s="90">
        <v>5.0000000000000001E-4</v>
      </c>
      <c r="G98" s="91">
        <v>188.55</v>
      </c>
      <c r="H98" s="91">
        <f t="shared" si="7"/>
        <v>0.09</v>
      </c>
    </row>
    <row r="99" spans="1:8">
      <c r="A99" s="92"/>
      <c r="B99" s="93"/>
      <c r="C99" s="296"/>
      <c r="D99" s="297"/>
      <c r="E99" s="94"/>
      <c r="F99" s="94"/>
      <c r="G99" s="95" t="s">
        <v>53</v>
      </c>
      <c r="H99" s="27">
        <f>SUM(H92:H98)</f>
        <v>4.26</v>
      </c>
    </row>
    <row r="100" spans="1:8">
      <c r="A100" s="298" t="s">
        <v>84</v>
      </c>
      <c r="B100" s="299"/>
      <c r="C100" s="299"/>
      <c r="D100" s="299"/>
      <c r="E100" s="85"/>
      <c r="F100" s="85"/>
      <c r="G100" s="85"/>
      <c r="H100" s="86"/>
    </row>
    <row r="101" spans="1:8">
      <c r="A101" s="87"/>
      <c r="B101" s="88"/>
      <c r="C101" s="300"/>
      <c r="D101" s="301"/>
      <c r="E101" s="89"/>
      <c r="F101" s="90"/>
      <c r="G101" s="96"/>
      <c r="H101" s="91">
        <f t="shared" ref="H101" si="8">TRUNC(F101*G101,2)</f>
        <v>0</v>
      </c>
    </row>
    <row r="102" spans="1:8">
      <c r="A102" s="97"/>
      <c r="B102" s="98"/>
      <c r="C102" s="291"/>
      <c r="D102" s="292"/>
      <c r="E102" s="99"/>
      <c r="F102" s="99"/>
      <c r="G102" s="100" t="s">
        <v>53</v>
      </c>
      <c r="H102" s="27">
        <f>SUM(H101:H101)</f>
        <v>0</v>
      </c>
    </row>
    <row r="103" spans="1:8" ht="13.2" customHeight="1">
      <c r="A103" s="293" t="s">
        <v>216</v>
      </c>
      <c r="B103" s="294"/>
      <c r="C103" s="294"/>
      <c r="D103" s="294"/>
      <c r="E103" s="294"/>
      <c r="F103" s="294"/>
      <c r="G103" s="295"/>
      <c r="H103" s="101">
        <f>H102+H99</f>
        <v>4.26</v>
      </c>
    </row>
    <row r="104" spans="1:8" ht="13.2" customHeight="1">
      <c r="A104" s="308"/>
      <c r="B104" s="308"/>
      <c r="C104" s="308"/>
      <c r="D104" s="308"/>
      <c r="E104" s="308"/>
      <c r="F104" s="308"/>
      <c r="G104" s="308"/>
      <c r="H104" s="308"/>
    </row>
  </sheetData>
  <mergeCells count="103">
    <mergeCell ref="A103:G103"/>
    <mergeCell ref="A104:H104"/>
    <mergeCell ref="C93:D93"/>
    <mergeCell ref="C94:D94"/>
    <mergeCell ref="C95:D95"/>
    <mergeCell ref="C96:D96"/>
    <mergeCell ref="C98:D98"/>
    <mergeCell ref="C99:D99"/>
    <mergeCell ref="A100:D100"/>
    <mergeCell ref="C101:D101"/>
    <mergeCell ref="C102:D102"/>
    <mergeCell ref="A88:H88"/>
    <mergeCell ref="A89:H89"/>
    <mergeCell ref="A90:D90"/>
    <mergeCell ref="A91:D91"/>
    <mergeCell ref="C97:D97"/>
    <mergeCell ref="C92:D92"/>
    <mergeCell ref="C85:D85"/>
    <mergeCell ref="A86:G86"/>
    <mergeCell ref="A87:H87"/>
    <mergeCell ref="C81:D81"/>
    <mergeCell ref="A79:D79"/>
    <mergeCell ref="C80:D80"/>
    <mergeCell ref="C82:D82"/>
    <mergeCell ref="A83:D83"/>
    <mergeCell ref="C84:D84"/>
    <mergeCell ref="A74:H74"/>
    <mergeCell ref="A75:H75"/>
    <mergeCell ref="A76:H76"/>
    <mergeCell ref="A77:H77"/>
    <mergeCell ref="A78:D78"/>
    <mergeCell ref="A70:D70"/>
    <mergeCell ref="C71:D71"/>
    <mergeCell ref="C72:D72"/>
    <mergeCell ref="A73:G73"/>
    <mergeCell ref="A65:H65"/>
    <mergeCell ref="A66:D66"/>
    <mergeCell ref="A67:D67"/>
    <mergeCell ref="C68:D68"/>
    <mergeCell ref="C69:D69"/>
    <mergeCell ref="A63:H63"/>
    <mergeCell ref="A64:H64"/>
    <mergeCell ref="A62:H62"/>
    <mergeCell ref="A26:H26"/>
    <mergeCell ref="A27:H27"/>
    <mergeCell ref="A28:D28"/>
    <mergeCell ref="A29:D29"/>
    <mergeCell ref="C30:D30"/>
    <mergeCell ref="C31:D31"/>
    <mergeCell ref="A32:D32"/>
    <mergeCell ref="C33:D33"/>
    <mergeCell ref="C34:D34"/>
    <mergeCell ref="A35:G35"/>
    <mergeCell ref="A36:H36"/>
    <mergeCell ref="A50:G50"/>
    <mergeCell ref="C47:D47"/>
    <mergeCell ref="A37:H37"/>
    <mergeCell ref="A38:H38"/>
    <mergeCell ref="A39:D39"/>
    <mergeCell ref="A40:D40"/>
    <mergeCell ref="C49:D49"/>
    <mergeCell ref="C42:D42"/>
    <mergeCell ref="A55:D55"/>
    <mergeCell ref="C56:D56"/>
    <mergeCell ref="A2:G2"/>
    <mergeCell ref="A3:G3"/>
    <mergeCell ref="A4:B4"/>
    <mergeCell ref="A14:H14"/>
    <mergeCell ref="A15:H15"/>
    <mergeCell ref="A16:D16"/>
    <mergeCell ref="A17:D17"/>
    <mergeCell ref="C18:D18"/>
    <mergeCell ref="A25:H25"/>
    <mergeCell ref="C19:D19"/>
    <mergeCell ref="A20:D20"/>
    <mergeCell ref="C21:D21"/>
    <mergeCell ref="C22:D22"/>
    <mergeCell ref="C23:D23"/>
    <mergeCell ref="A24:G24"/>
    <mergeCell ref="J4:O4"/>
    <mergeCell ref="K5:O5"/>
    <mergeCell ref="D5:F5"/>
    <mergeCell ref="K6:O7"/>
    <mergeCell ref="K8:O8"/>
    <mergeCell ref="L10:O10"/>
    <mergeCell ref="E10:H10"/>
    <mergeCell ref="E11:H11"/>
    <mergeCell ref="A12:H13"/>
    <mergeCell ref="C60:D60"/>
    <mergeCell ref="A61:G61"/>
    <mergeCell ref="C57:D57"/>
    <mergeCell ref="A58:D58"/>
    <mergeCell ref="C59:D59"/>
    <mergeCell ref="C44:D44"/>
    <mergeCell ref="C41:D41"/>
    <mergeCell ref="A43:D43"/>
    <mergeCell ref="C45:D45"/>
    <mergeCell ref="C46:D46"/>
    <mergeCell ref="C48:D48"/>
    <mergeCell ref="A52:H52"/>
    <mergeCell ref="A53:H53"/>
    <mergeCell ref="A54:D54"/>
    <mergeCell ref="A51:H51"/>
  </mergeCells>
  <conditionalFormatting sqref="A8">
    <cfRule type="cellIs" dxfId="21" priority="8" stopIfTrue="1" operator="equal">
      <formula>0</formula>
    </cfRule>
  </conditionalFormatting>
  <conditionalFormatting sqref="C4:D4 F4:J4 A4:A5 A7:D7 F7:J7 B10:D10 A10:A11">
    <cfRule type="cellIs" dxfId="20" priority="9" stopIfTrue="1" operator="equal">
      <formula>0</formula>
    </cfRule>
  </conditionalFormatting>
  <conditionalFormatting sqref="C11:D11">
    <cfRule type="cellIs" dxfId="19" priority="1" stopIfTrue="1" operator="equal">
      <formula>0</formula>
    </cfRule>
  </conditionalFormatting>
  <conditionalFormatting sqref="D5">
    <cfRule type="cellIs" dxfId="18" priority="5" stopIfTrue="1" operator="equal">
      <formula>0</formula>
    </cfRule>
  </conditionalFormatting>
  <conditionalFormatting sqref="D8">
    <cfRule type="cellIs" dxfId="17" priority="4" stopIfTrue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71" fitToHeight="0" orientation="portrait" horizontalDpi="360" verticalDpi="360" r:id="rId1"/>
  <headerFooter>
    <oddFooter>Página &amp;P de &amp;N</oddFooter>
  </headerFooter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6FB74-AE94-4A6E-B791-90D7C9DDFE68}">
  <sheetPr>
    <pageSetUpPr fitToPage="1"/>
  </sheetPr>
  <dimension ref="A1:K50"/>
  <sheetViews>
    <sheetView view="pageBreakPreview" topLeftCell="A6" zoomScale="70" zoomScaleNormal="80" zoomScaleSheetLayoutView="70" workbookViewId="0">
      <selection activeCell="B34" sqref="B34"/>
    </sheetView>
  </sheetViews>
  <sheetFormatPr defaultRowHeight="13.2"/>
  <cols>
    <col min="1" max="1" width="32.109375" bestFit="1" customWidth="1"/>
    <col min="2" max="2" width="60.88671875" customWidth="1"/>
    <col min="3" max="3" width="16.77734375" bestFit="1" customWidth="1"/>
    <col min="4" max="4" width="15" customWidth="1"/>
    <col min="5" max="5" width="22.88671875" customWidth="1"/>
    <col min="6" max="6" width="22.33203125" customWidth="1"/>
    <col min="7" max="7" width="22.88671875" customWidth="1"/>
    <col min="8" max="9" width="22.33203125" customWidth="1"/>
    <col min="10" max="10" width="22.88671875" customWidth="1"/>
    <col min="11" max="11" width="22.33203125" customWidth="1"/>
  </cols>
  <sheetData>
    <row r="1" spans="1:11" ht="15" customHeight="1">
      <c r="A1" s="237" t="s">
        <v>55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15" customHeight="1">
      <c r="A2" s="237" t="s">
        <v>302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</row>
    <row r="3" spans="1:11" ht="15" customHeight="1">
      <c r="A3" s="103" t="s">
        <v>56</v>
      </c>
      <c r="C3" s="34"/>
      <c r="D3" s="33"/>
    </row>
    <row r="4" spans="1:11">
      <c r="A4" s="322"/>
      <c r="B4" s="323"/>
      <c r="C4" s="38"/>
      <c r="D4" s="39"/>
      <c r="E4" s="39"/>
      <c r="F4" s="39"/>
      <c r="G4" s="39"/>
      <c r="H4" s="39"/>
      <c r="I4" s="39"/>
      <c r="J4" s="39"/>
      <c r="K4" s="39"/>
    </row>
    <row r="5" spans="1:11" ht="6" customHeight="1">
      <c r="A5" s="41"/>
      <c r="B5" s="43"/>
      <c r="C5" s="43"/>
      <c r="D5" s="43"/>
    </row>
    <row r="6" spans="1:11">
      <c r="A6" s="45" t="s">
        <v>58</v>
      </c>
      <c r="B6" s="46" t="s">
        <v>59</v>
      </c>
      <c r="C6" s="34" t="s">
        <v>57</v>
      </c>
      <c r="D6" s="33"/>
    </row>
    <row r="7" spans="1:11">
      <c r="A7" s="104"/>
      <c r="B7" s="38" t="s">
        <v>55</v>
      </c>
      <c r="C7" s="241" t="s">
        <v>217</v>
      </c>
      <c r="D7" s="242"/>
      <c r="E7" s="242"/>
      <c r="F7" s="242"/>
      <c r="G7" s="242"/>
      <c r="H7" s="39"/>
      <c r="I7" s="39"/>
      <c r="J7" s="39"/>
      <c r="K7" s="39"/>
    </row>
    <row r="8" spans="1:11">
      <c r="A8" s="41"/>
      <c r="B8" s="33"/>
      <c r="C8" s="33"/>
      <c r="D8" s="33"/>
    </row>
    <row r="9" spans="1:11">
      <c r="A9" s="45" t="s">
        <v>82</v>
      </c>
      <c r="B9" s="48" t="s">
        <v>60</v>
      </c>
      <c r="C9" s="78"/>
      <c r="D9" s="78"/>
    </row>
    <row r="10" spans="1:11">
      <c r="A10" s="52"/>
      <c r="B10" s="126" t="s">
        <v>279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1:11" ht="15" customHeight="1">
      <c r="A11" s="326" t="s">
        <v>80</v>
      </c>
      <c r="B11" s="326"/>
      <c r="C11" s="326"/>
      <c r="D11" s="326"/>
      <c r="E11" s="326"/>
      <c r="F11" s="326"/>
      <c r="G11" s="326"/>
      <c r="H11" s="326"/>
      <c r="I11" s="326"/>
      <c r="J11" s="326"/>
      <c r="K11" s="326"/>
    </row>
    <row r="12" spans="1:11" ht="9.75" customHeight="1">
      <c r="A12" s="326"/>
      <c r="B12" s="326"/>
      <c r="C12" s="326"/>
      <c r="D12" s="326"/>
      <c r="E12" s="326"/>
      <c r="F12" s="326"/>
      <c r="G12" s="326"/>
      <c r="H12" s="326"/>
      <c r="I12" s="326"/>
      <c r="J12" s="326"/>
      <c r="K12" s="326"/>
    </row>
    <row r="13" spans="1:11" ht="5.25" customHeight="1">
      <c r="A13" s="326"/>
      <c r="B13" s="326"/>
      <c r="C13" s="326"/>
      <c r="D13" s="326"/>
      <c r="E13" s="326"/>
      <c r="F13" s="326"/>
      <c r="G13" s="326"/>
      <c r="H13" s="326"/>
      <c r="I13" s="326"/>
      <c r="J13" s="326"/>
      <c r="K13" s="326"/>
    </row>
    <row r="14" spans="1:11" ht="18.75" customHeight="1" thickBot="1">
      <c r="A14" s="105"/>
      <c r="B14" s="105"/>
      <c r="C14" s="105"/>
      <c r="D14" s="105"/>
      <c r="E14" s="327" t="s">
        <v>81</v>
      </c>
      <c r="F14" s="328"/>
      <c r="G14" s="328"/>
      <c r="H14" s="328"/>
      <c r="I14" s="328"/>
      <c r="J14" s="328"/>
      <c r="K14" s="328"/>
    </row>
    <row r="15" spans="1:11" s="109" customFormat="1">
      <c r="A15" s="106" t="s">
        <v>0</v>
      </c>
      <c r="B15" s="107" t="s">
        <v>85</v>
      </c>
      <c r="C15" s="108" t="s">
        <v>86</v>
      </c>
      <c r="D15" s="107" t="s">
        <v>87</v>
      </c>
      <c r="E15" s="107">
        <v>1</v>
      </c>
      <c r="F15" s="107">
        <v>2</v>
      </c>
      <c r="G15" s="107">
        <v>3</v>
      </c>
      <c r="H15" s="107">
        <v>4</v>
      </c>
      <c r="I15" s="107">
        <v>5</v>
      </c>
      <c r="J15" s="107">
        <v>6</v>
      </c>
      <c r="K15" s="107">
        <v>7</v>
      </c>
    </row>
    <row r="16" spans="1:11" s="109" customFormat="1">
      <c r="A16" s="110"/>
      <c r="B16" s="111"/>
      <c r="C16" s="112"/>
      <c r="D16" s="113"/>
      <c r="E16" s="113"/>
      <c r="F16" s="113"/>
      <c r="G16" s="113"/>
      <c r="H16" s="113"/>
      <c r="I16" s="113"/>
      <c r="J16" s="113"/>
      <c r="K16" s="113"/>
    </row>
    <row r="17" spans="1:11" s="109" customFormat="1">
      <c r="A17" s="114">
        <v>1</v>
      </c>
      <c r="B17" s="115" t="s">
        <v>111</v>
      </c>
      <c r="C17" s="116">
        <f>'Planilha Orçamentária'!I18</f>
        <v>14959.82</v>
      </c>
      <c r="D17" s="117">
        <f>C17/$C$40</f>
        <v>1.1023942640852014E-2</v>
      </c>
      <c r="E17" s="118">
        <v>1</v>
      </c>
      <c r="F17" s="118"/>
      <c r="G17" s="118"/>
      <c r="H17" s="118"/>
      <c r="I17" s="118"/>
      <c r="J17" s="118"/>
      <c r="K17" s="118"/>
    </row>
    <row r="18" spans="1:11" s="109" customFormat="1">
      <c r="A18" s="114"/>
      <c r="B18" s="113"/>
      <c r="C18" s="116"/>
      <c r="D18" s="117"/>
      <c r="E18" s="119">
        <f>$C$17*E17</f>
        <v>14959.82</v>
      </c>
      <c r="F18" s="119">
        <f t="shared" ref="F18:H18" si="0">$C$17*F17</f>
        <v>0</v>
      </c>
      <c r="G18" s="119">
        <f t="shared" si="0"/>
        <v>0</v>
      </c>
      <c r="H18" s="119">
        <f t="shared" si="0"/>
        <v>0</v>
      </c>
      <c r="I18" s="119">
        <f t="shared" ref="I18:K18" si="1">$C$17*I17</f>
        <v>0</v>
      </c>
      <c r="J18" s="119">
        <f t="shared" si="1"/>
        <v>0</v>
      </c>
      <c r="K18" s="119">
        <f t="shared" si="1"/>
        <v>0</v>
      </c>
    </row>
    <row r="19" spans="1:11" s="109" customFormat="1">
      <c r="A19" s="114">
        <v>2</v>
      </c>
      <c r="B19" s="115" t="s">
        <v>215</v>
      </c>
      <c r="C19" s="116">
        <f>'Planilha Orçamentária'!I26</f>
        <v>21035.14</v>
      </c>
      <c r="D19" s="117">
        <f>C19/$C$40</f>
        <v>1.5500866775288195E-2</v>
      </c>
      <c r="E19" s="118">
        <v>0.7</v>
      </c>
      <c r="F19" s="118">
        <v>0.3</v>
      </c>
      <c r="G19" s="118"/>
      <c r="H19" s="118"/>
      <c r="I19" s="118"/>
      <c r="J19" s="118"/>
      <c r="K19" s="118"/>
    </row>
    <row r="20" spans="1:11" s="109" customFormat="1">
      <c r="A20" s="114"/>
      <c r="B20" s="113"/>
      <c r="C20" s="116"/>
      <c r="D20" s="117"/>
      <c r="E20" s="119">
        <f>$C$19*E19</f>
        <v>14724.597999999998</v>
      </c>
      <c r="F20" s="119">
        <f t="shared" ref="F20:H20" si="2">$C$19*F19</f>
        <v>6310.5419999999995</v>
      </c>
      <c r="G20" s="119">
        <f t="shared" si="2"/>
        <v>0</v>
      </c>
      <c r="H20" s="119">
        <f t="shared" si="2"/>
        <v>0</v>
      </c>
      <c r="I20" s="119">
        <f t="shared" ref="I20:K20" si="3">$C$19*I19</f>
        <v>0</v>
      </c>
      <c r="J20" s="119">
        <f t="shared" si="3"/>
        <v>0</v>
      </c>
      <c r="K20" s="119">
        <f t="shared" si="3"/>
        <v>0</v>
      </c>
    </row>
    <row r="21" spans="1:11" s="109" customFormat="1">
      <c r="A21" s="114">
        <v>3</v>
      </c>
      <c r="B21" s="113" t="s">
        <v>214</v>
      </c>
      <c r="C21" s="116">
        <f>'Planilha Orçamentária'!I55</f>
        <v>253959.98</v>
      </c>
      <c r="D21" s="117">
        <f>C21/$C$40</f>
        <v>0.18714397984681133</v>
      </c>
      <c r="E21" s="118">
        <v>0.3</v>
      </c>
      <c r="F21" s="118">
        <v>0.3</v>
      </c>
      <c r="G21" s="118">
        <v>0.4</v>
      </c>
      <c r="H21" s="118"/>
      <c r="I21" s="118"/>
      <c r="J21" s="118"/>
      <c r="K21" s="118"/>
    </row>
    <row r="22" spans="1:11" s="109" customFormat="1">
      <c r="A22" s="114"/>
      <c r="B22" s="113"/>
      <c r="C22" s="116"/>
      <c r="D22" s="117"/>
      <c r="E22" s="119">
        <f>$C21*E21</f>
        <v>76187.994000000006</v>
      </c>
      <c r="F22" s="119">
        <f t="shared" ref="F22:H22" si="4">$C21*F21</f>
        <v>76187.994000000006</v>
      </c>
      <c r="G22" s="119">
        <f t="shared" si="4"/>
        <v>101583.99200000001</v>
      </c>
      <c r="H22" s="119">
        <f t="shared" si="4"/>
        <v>0</v>
      </c>
      <c r="I22" s="119">
        <f t="shared" ref="I22:K22" si="5">$C21*I21</f>
        <v>0</v>
      </c>
      <c r="J22" s="119">
        <f t="shared" si="5"/>
        <v>0</v>
      </c>
      <c r="K22" s="119">
        <f t="shared" si="5"/>
        <v>0</v>
      </c>
    </row>
    <row r="23" spans="1:11" s="109" customFormat="1">
      <c r="A23" s="114">
        <v>4</v>
      </c>
      <c r="B23" s="113" t="s">
        <v>213</v>
      </c>
      <c r="C23" s="116">
        <f>'Planilha Orçamentária'!I61</f>
        <v>129153.01</v>
      </c>
      <c r="D23" s="117">
        <f>C23/$C$40</f>
        <v>9.5173295810603784E-2</v>
      </c>
      <c r="E23" s="118"/>
      <c r="F23" s="118">
        <v>0.5</v>
      </c>
      <c r="G23" s="118">
        <v>0.5</v>
      </c>
      <c r="H23" s="118"/>
      <c r="I23" s="118"/>
      <c r="J23" s="118"/>
      <c r="K23" s="118"/>
    </row>
    <row r="24" spans="1:11" s="109" customFormat="1">
      <c r="A24" s="114"/>
      <c r="B24" s="113"/>
      <c r="C24" s="116"/>
      <c r="D24" s="117"/>
      <c r="E24" s="119">
        <f>$C23*E23</f>
        <v>0</v>
      </c>
      <c r="F24" s="119">
        <f t="shared" ref="F24:H24" si="6">$C23*F23</f>
        <v>64576.504999999997</v>
      </c>
      <c r="G24" s="119">
        <f t="shared" si="6"/>
        <v>64576.504999999997</v>
      </c>
      <c r="H24" s="119">
        <f t="shared" si="6"/>
        <v>0</v>
      </c>
      <c r="I24" s="119">
        <f t="shared" ref="I24:K24" si="7">$C23*I23</f>
        <v>0</v>
      </c>
      <c r="J24" s="119">
        <f t="shared" si="7"/>
        <v>0</v>
      </c>
      <c r="K24" s="119">
        <f t="shared" si="7"/>
        <v>0</v>
      </c>
    </row>
    <row r="25" spans="1:11" s="109" customFormat="1">
      <c r="A25" s="114">
        <v>5</v>
      </c>
      <c r="B25" s="115" t="s">
        <v>212</v>
      </c>
      <c r="C25" s="116">
        <f>'Planilha Orçamentária'!I66</f>
        <v>18557.419999999998</v>
      </c>
      <c r="D25" s="117">
        <f>C25/$C$40</f>
        <v>1.3675026413566473E-2</v>
      </c>
      <c r="E25" s="118"/>
      <c r="F25" s="118">
        <v>0.2</v>
      </c>
      <c r="G25" s="118">
        <v>0.3</v>
      </c>
      <c r="H25" s="118">
        <v>0.3</v>
      </c>
      <c r="I25" s="118">
        <v>0.2</v>
      </c>
      <c r="J25" s="118"/>
      <c r="K25" s="118"/>
    </row>
    <row r="26" spans="1:11" s="109" customFormat="1">
      <c r="A26" s="114"/>
      <c r="B26" s="113"/>
      <c r="C26" s="116"/>
      <c r="D26" s="117"/>
      <c r="E26" s="119">
        <f t="shared" ref="E26:G26" si="8">$C$25*E25</f>
        <v>0</v>
      </c>
      <c r="F26" s="119">
        <f t="shared" si="8"/>
        <v>3711.4839999999999</v>
      </c>
      <c r="G26" s="119">
        <f t="shared" si="8"/>
        <v>5567.2259999999997</v>
      </c>
      <c r="H26" s="119">
        <f>$C$25*H25</f>
        <v>5567.2259999999997</v>
      </c>
      <c r="I26" s="119">
        <f t="shared" ref="I26:J26" si="9">$C$25*I25</f>
        <v>3711.4839999999999</v>
      </c>
      <c r="J26" s="119">
        <f t="shared" si="9"/>
        <v>0</v>
      </c>
      <c r="K26" s="119">
        <f>$C$25*K25</f>
        <v>0</v>
      </c>
    </row>
    <row r="27" spans="1:11" s="109" customFormat="1">
      <c r="A27" s="114">
        <v>6</v>
      </c>
      <c r="B27" s="115" t="s">
        <v>211</v>
      </c>
      <c r="C27" s="116">
        <f>'Planilha Orçamentária'!I75</f>
        <v>163832.29</v>
      </c>
      <c r="D27" s="117">
        <f>C27/$C$40</f>
        <v>0.12072857612454115</v>
      </c>
      <c r="E27" s="118"/>
      <c r="F27" s="118">
        <v>0.3</v>
      </c>
      <c r="G27" s="118">
        <v>0.2</v>
      </c>
      <c r="H27" s="118">
        <v>0.5</v>
      </c>
      <c r="I27" s="118"/>
      <c r="J27" s="118"/>
      <c r="K27" s="118"/>
    </row>
    <row r="28" spans="1:11" s="109" customFormat="1">
      <c r="A28" s="114"/>
      <c r="B28" s="113"/>
      <c r="C28" s="116"/>
      <c r="D28" s="117"/>
      <c r="E28" s="119">
        <f>$C$27*E27</f>
        <v>0</v>
      </c>
      <c r="F28" s="119">
        <f>$C$27*F27</f>
        <v>49149.686999999998</v>
      </c>
      <c r="G28" s="119">
        <f t="shared" ref="G28:H28" si="10">$C$27*G27</f>
        <v>32766.458000000002</v>
      </c>
      <c r="H28" s="119">
        <f t="shared" si="10"/>
        <v>81916.145000000004</v>
      </c>
      <c r="I28" s="119">
        <f>$C$27*I27</f>
        <v>0</v>
      </c>
      <c r="J28" s="119">
        <f t="shared" ref="J28:K28" si="11">$C$27*J27</f>
        <v>0</v>
      </c>
      <c r="K28" s="119">
        <f t="shared" si="11"/>
        <v>0</v>
      </c>
    </row>
    <row r="29" spans="1:11" s="109" customFormat="1">
      <c r="A29" s="114">
        <v>7</v>
      </c>
      <c r="B29" s="115" t="s">
        <v>277</v>
      </c>
      <c r="C29" s="116">
        <f>'Planilha Orçamentária'!I77</f>
        <v>672141.06</v>
      </c>
      <c r="D29" s="117">
        <f>C29/$C$40</f>
        <v>0.49530305124001983</v>
      </c>
      <c r="E29" s="118"/>
      <c r="F29" s="118"/>
      <c r="G29" s="118"/>
      <c r="H29" s="118"/>
      <c r="I29" s="118">
        <v>0.2</v>
      </c>
      <c r="J29" s="118">
        <v>0.4</v>
      </c>
      <c r="K29" s="118">
        <v>0.4</v>
      </c>
    </row>
    <row r="30" spans="1:11" s="109" customFormat="1">
      <c r="A30" s="114"/>
      <c r="B30" s="113"/>
      <c r="C30" s="116"/>
      <c r="D30" s="117"/>
      <c r="E30" s="119">
        <f t="shared" ref="E30:K30" si="12">$C$29*E29</f>
        <v>0</v>
      </c>
      <c r="F30" s="119">
        <f t="shared" si="12"/>
        <v>0</v>
      </c>
      <c r="G30" s="119">
        <f t="shared" si="12"/>
        <v>0</v>
      </c>
      <c r="H30" s="119">
        <f t="shared" si="12"/>
        <v>0</v>
      </c>
      <c r="I30" s="119">
        <f t="shared" si="12"/>
        <v>134428.21200000003</v>
      </c>
      <c r="J30" s="119">
        <f t="shared" si="12"/>
        <v>268856.42400000006</v>
      </c>
      <c r="K30" s="119">
        <f t="shared" si="12"/>
        <v>268856.42400000006</v>
      </c>
    </row>
    <row r="31" spans="1:11" s="109" customFormat="1">
      <c r="A31" s="114">
        <v>8</v>
      </c>
      <c r="B31" s="113" t="s">
        <v>210</v>
      </c>
      <c r="C31" s="116">
        <f>'Planilha Orçamentária'!I101</f>
        <v>20674.740000000002</v>
      </c>
      <c r="D31" s="117">
        <f>C31/$C$40</f>
        <v>1.5235286779822806E-2</v>
      </c>
      <c r="E31" s="118"/>
      <c r="F31" s="118"/>
      <c r="G31" s="118"/>
      <c r="H31" s="118"/>
      <c r="I31" s="118"/>
      <c r="J31" s="118">
        <v>0.5</v>
      </c>
      <c r="K31" s="118">
        <v>0.5</v>
      </c>
    </row>
    <row r="32" spans="1:11" s="109" customFormat="1">
      <c r="A32" s="114"/>
      <c r="B32" s="113"/>
      <c r="C32" s="116"/>
      <c r="D32" s="117"/>
      <c r="E32" s="119">
        <f>$C31*E31</f>
        <v>0</v>
      </c>
      <c r="F32" s="119">
        <f t="shared" ref="F32:G32" si="13">$C31*F31</f>
        <v>0</v>
      </c>
      <c r="G32" s="119">
        <f t="shared" si="13"/>
        <v>0</v>
      </c>
      <c r="H32" s="119">
        <f>$C31*H31</f>
        <v>0</v>
      </c>
      <c r="I32" s="119">
        <f t="shared" ref="I32:J32" si="14">$C31*I31</f>
        <v>0</v>
      </c>
      <c r="J32" s="119">
        <f t="shared" si="14"/>
        <v>10337.370000000001</v>
      </c>
      <c r="K32" s="119">
        <f>$C31*K31</f>
        <v>10337.370000000001</v>
      </c>
    </row>
    <row r="33" spans="1:11" s="109" customFormat="1">
      <c r="A33" s="114">
        <v>9</v>
      </c>
      <c r="B33" s="113" t="s">
        <v>359</v>
      </c>
      <c r="C33" s="116">
        <f>'Planilha Orçamentária'!I108</f>
        <v>46476.54</v>
      </c>
      <c r="D33" s="117">
        <f>C33/$C$40</f>
        <v>3.4248721649409168E-2</v>
      </c>
      <c r="E33" s="118"/>
      <c r="F33" s="118"/>
      <c r="G33" s="118"/>
      <c r="H33" s="118"/>
      <c r="I33" s="118">
        <v>0.65</v>
      </c>
      <c r="J33" s="118"/>
      <c r="K33" s="118">
        <v>0.35</v>
      </c>
    </row>
    <row r="34" spans="1:11" s="109" customFormat="1">
      <c r="A34" s="114"/>
      <c r="B34" s="113"/>
      <c r="C34" s="116"/>
      <c r="D34" s="117"/>
      <c r="E34" s="119">
        <f>$C33*E33</f>
        <v>0</v>
      </c>
      <c r="F34" s="119">
        <f t="shared" ref="F34:G34" si="15">$C33*F33</f>
        <v>0</v>
      </c>
      <c r="G34" s="119">
        <f t="shared" si="15"/>
        <v>0</v>
      </c>
      <c r="H34" s="119">
        <f>$C33*H33</f>
        <v>0</v>
      </c>
      <c r="I34" s="119">
        <f t="shared" ref="I34:J34" si="16">$C33*I33</f>
        <v>30209.751</v>
      </c>
      <c r="J34" s="119">
        <f t="shared" si="16"/>
        <v>0</v>
      </c>
      <c r="K34" s="119">
        <f>$C33*K33</f>
        <v>16266.788999999999</v>
      </c>
    </row>
    <row r="35" spans="1:11" s="109" customFormat="1">
      <c r="A35" s="114">
        <v>10</v>
      </c>
      <c r="B35" s="113" t="s">
        <v>209</v>
      </c>
      <c r="C35" s="116">
        <f>'Planilha Orçamentária'!I121</f>
        <v>13661.06</v>
      </c>
      <c r="D35" s="117">
        <f>C35/$C$40</f>
        <v>1.0066881944651595E-2</v>
      </c>
      <c r="E35" s="118"/>
      <c r="F35" s="118"/>
      <c r="G35" s="118">
        <v>0.5</v>
      </c>
      <c r="H35" s="118">
        <v>0.5</v>
      </c>
      <c r="I35" s="118"/>
      <c r="J35" s="118"/>
      <c r="K35" s="118"/>
    </row>
    <row r="36" spans="1:11" s="109" customFormat="1">
      <c r="A36" s="114"/>
      <c r="B36" s="113"/>
      <c r="C36" s="116"/>
      <c r="D36" s="117"/>
      <c r="E36" s="119">
        <f>$C35*E35</f>
        <v>0</v>
      </c>
      <c r="F36" s="119">
        <f t="shared" ref="F36:G36" si="17">$C35*F35</f>
        <v>0</v>
      </c>
      <c r="G36" s="119">
        <f t="shared" si="17"/>
        <v>6830.53</v>
      </c>
      <c r="H36" s="119">
        <f>$C35*H35</f>
        <v>6830.53</v>
      </c>
      <c r="I36" s="119">
        <f t="shared" ref="I36:J36" si="18">$C35*I35</f>
        <v>0</v>
      </c>
      <c r="J36" s="119">
        <f t="shared" si="18"/>
        <v>0</v>
      </c>
      <c r="K36" s="119">
        <f>$C35*K35</f>
        <v>0</v>
      </c>
    </row>
    <row r="37" spans="1:11" s="109" customFormat="1">
      <c r="A37" s="114">
        <v>11</v>
      </c>
      <c r="B37" s="113" t="s">
        <v>208</v>
      </c>
      <c r="C37" s="116">
        <f>'Planilha Orçamentária'!I125</f>
        <v>2578.86</v>
      </c>
      <c r="D37" s="117">
        <f>C37/$C$40</f>
        <v>1.9003707744336248E-3</v>
      </c>
      <c r="E37" s="118"/>
      <c r="F37" s="118"/>
      <c r="G37" s="118"/>
      <c r="H37" s="118"/>
      <c r="I37" s="118"/>
      <c r="J37" s="118"/>
      <c r="K37" s="118">
        <v>1</v>
      </c>
    </row>
    <row r="38" spans="1:11" s="109" customFormat="1">
      <c r="A38" s="114"/>
      <c r="B38" s="113"/>
      <c r="C38" s="116"/>
      <c r="D38" s="117"/>
      <c r="E38" s="119">
        <f>$C37*E37</f>
        <v>0</v>
      </c>
      <c r="F38" s="119">
        <f t="shared" ref="F38:G38" si="19">$C37*F37</f>
        <v>0</v>
      </c>
      <c r="G38" s="119">
        <f t="shared" si="19"/>
        <v>0</v>
      </c>
      <c r="H38" s="119">
        <f>$C37*H37</f>
        <v>0</v>
      </c>
      <c r="I38" s="119">
        <f t="shared" ref="I38:J38" si="20">$C37*I37</f>
        <v>0</v>
      </c>
      <c r="J38" s="119">
        <f t="shared" si="20"/>
        <v>0</v>
      </c>
      <c r="K38" s="119">
        <f>$C37*K37</f>
        <v>2578.86</v>
      </c>
    </row>
    <row r="39" spans="1:11" s="109" customFormat="1" ht="13.8" thickBot="1">
      <c r="A39" s="120"/>
      <c r="B39" s="120"/>
      <c r="C39" s="121"/>
      <c r="D39" s="120"/>
      <c r="E39" s="120"/>
      <c r="F39" s="120"/>
      <c r="G39" s="120"/>
      <c r="H39" s="120"/>
      <c r="I39" s="120"/>
      <c r="J39" s="120"/>
      <c r="K39" s="120"/>
    </row>
    <row r="40" spans="1:11" s="109" customFormat="1" ht="13.8" thickBot="1">
      <c r="A40" s="324" t="s">
        <v>88</v>
      </c>
      <c r="B40" s="325"/>
      <c r="C40" s="159">
        <f>(C19+C21+C23+C17+C25+C27+C31+C33+C35+C37+C29)</f>
        <v>1357029.9200000002</v>
      </c>
      <c r="D40" s="157">
        <f>TRUNC(D19+D21+D23+D17+D25+D27+D31+D33+D35+D37+D29,2)</f>
        <v>1</v>
      </c>
      <c r="E40" s="158">
        <f>(E20+E22+E2+E24+E18+E26+E28+E32+E34+E36+E38+E30)</f>
        <v>105872.41200000001</v>
      </c>
      <c r="F40" s="158">
        <f t="shared" ref="F40:G40" si="21">(F20+F22+F2+F24+F18+F26+F28+F32+F34+F36+F38+F30)</f>
        <v>199936.212</v>
      </c>
      <c r="G40" s="158">
        <f t="shared" si="21"/>
        <v>211324.71100000001</v>
      </c>
      <c r="H40" s="158">
        <f>(H20+H22+H2+H24+H18+H26+H28+H32+H34+H36+H38+H30)</f>
        <v>94313.900999999998</v>
      </c>
      <c r="I40" s="158">
        <f t="shared" ref="I40:J40" si="22">(I20+I22+I2+I24+I18+I26+I28+I32+I34+I36+I38+I30)</f>
        <v>168349.44700000004</v>
      </c>
      <c r="J40" s="158">
        <f t="shared" si="22"/>
        <v>279193.79400000005</v>
      </c>
      <c r="K40" s="158">
        <f>(K20+K22+K2+K24+K18+K26+K28+K32+K34+K36+K38+K30)</f>
        <v>298039.44300000009</v>
      </c>
    </row>
    <row r="41" spans="1:11" s="109" customFormat="1" ht="13.8" thickBot="1">
      <c r="A41" s="319" t="s">
        <v>89</v>
      </c>
      <c r="B41" s="320"/>
      <c r="C41" s="320"/>
      <c r="D41" s="321"/>
      <c r="E41" s="122">
        <f t="shared" ref="E41:K41" si="23">E40/$C$40</f>
        <v>7.8017743337597159E-2</v>
      </c>
      <c r="F41" s="122">
        <f t="shared" si="23"/>
        <v>0.14733368001200739</v>
      </c>
      <c r="G41" s="122">
        <f t="shared" si="23"/>
        <v>0.1557259039653304</v>
      </c>
      <c r="H41" s="122">
        <f t="shared" si="23"/>
        <v>6.9500236958666306E-2</v>
      </c>
      <c r="I41" s="122">
        <f t="shared" si="23"/>
        <v>0.12405728460283325</v>
      </c>
      <c r="J41" s="122">
        <f t="shared" si="23"/>
        <v>0.20573886388591936</v>
      </c>
      <c r="K41" s="122">
        <f t="shared" si="23"/>
        <v>0.21962628723764621</v>
      </c>
    </row>
    <row r="42" spans="1:11" s="109" customFormat="1" ht="13.8" thickBot="1">
      <c r="A42" s="319" t="s">
        <v>90</v>
      </c>
      <c r="B42" s="320"/>
      <c r="C42" s="320"/>
      <c r="D42" s="321"/>
      <c r="E42" s="123">
        <f>E41</f>
        <v>7.8017743337597159E-2</v>
      </c>
      <c r="F42" s="123">
        <f t="shared" ref="F42:K42" si="24">E42+F41</f>
        <v>0.22535142334960456</v>
      </c>
      <c r="G42" s="123">
        <f t="shared" si="24"/>
        <v>0.38107732731493493</v>
      </c>
      <c r="H42" s="123">
        <f t="shared" si="24"/>
        <v>0.45057756427360124</v>
      </c>
      <c r="I42" s="123">
        <f t="shared" si="24"/>
        <v>0.57463484887643446</v>
      </c>
      <c r="J42" s="123">
        <f t="shared" si="24"/>
        <v>0.78037371276235379</v>
      </c>
      <c r="K42" s="123">
        <f t="shared" si="24"/>
        <v>1</v>
      </c>
    </row>
    <row r="50" spans="3:3">
      <c r="C50" s="132">
        <f>C40*4</f>
        <v>5428119.6800000006</v>
      </c>
    </row>
  </sheetData>
  <mergeCells count="9">
    <mergeCell ref="A1:K1"/>
    <mergeCell ref="A2:K2"/>
    <mergeCell ref="A41:D41"/>
    <mergeCell ref="A42:D42"/>
    <mergeCell ref="A4:B4"/>
    <mergeCell ref="A40:B40"/>
    <mergeCell ref="A11:K13"/>
    <mergeCell ref="E14:K14"/>
    <mergeCell ref="C7:G7"/>
  </mergeCells>
  <conditionalFormatting sqref="A3:A4">
    <cfRule type="cellIs" dxfId="16" priority="7" stopIfTrue="1" operator="equal">
      <formula>0</formula>
    </cfRule>
  </conditionalFormatting>
  <conditionalFormatting sqref="A9:B10">
    <cfRule type="cellIs" dxfId="15" priority="1" stopIfTrue="1" operator="equal">
      <formula>0</formula>
    </cfRule>
  </conditionalFormatting>
  <conditionalFormatting sqref="A6:C7">
    <cfRule type="cellIs" dxfId="14" priority="4" stopIfTrue="1" operator="equal">
      <formula>0</formula>
    </cfRule>
  </conditionalFormatting>
  <conditionalFormatting sqref="D3 C3:C4 D6 B8:D8">
    <cfRule type="cellIs" dxfId="13" priority="8" stopIfTrue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49" fitToHeight="0" orientation="landscape" horizontalDpi="360" verticalDpi="360" r:id="rId1"/>
  <headerFooter>
    <oddFooter>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0C77D-251F-4632-B508-E346A8DE51AA}">
  <dimension ref="A1:L213"/>
  <sheetViews>
    <sheetView tabSelected="1" view="pageBreakPreview" topLeftCell="A86" zoomScale="85" zoomScaleNormal="85" zoomScaleSheetLayoutView="85" workbookViewId="0">
      <selection activeCell="L11" sqref="L11"/>
    </sheetView>
  </sheetViews>
  <sheetFormatPr defaultRowHeight="13.2"/>
  <cols>
    <col min="1" max="1" width="9.6640625" customWidth="1"/>
    <col min="2" max="2" width="13.88671875" bestFit="1" customWidth="1"/>
    <col min="3" max="3" width="23" customWidth="1"/>
    <col min="4" max="4" width="57.5546875" style="207" bestFit="1" customWidth="1"/>
    <col min="5" max="5" width="9.6640625" bestFit="1" customWidth="1"/>
    <col min="6" max="6" width="14" bestFit="1" customWidth="1"/>
    <col min="7" max="7" width="14.6640625" customWidth="1"/>
    <col min="8" max="8" width="14.44140625" customWidth="1"/>
    <col min="9" max="9" width="20.5546875" bestFit="1" customWidth="1"/>
    <col min="10" max="10" width="10.6640625" style="183" customWidth="1"/>
    <col min="11" max="11" width="13.33203125" customWidth="1"/>
    <col min="12" max="12" width="15.88671875" bestFit="1" customWidth="1"/>
    <col min="13" max="13" width="14.44140625" bestFit="1" customWidth="1"/>
  </cols>
  <sheetData>
    <row r="1" spans="1:12" ht="17.399999999999999">
      <c r="A1" s="235" t="s">
        <v>55</v>
      </c>
      <c r="B1" s="236"/>
      <c r="C1" s="236"/>
      <c r="D1" s="236"/>
      <c r="E1" s="236"/>
      <c r="F1" s="236"/>
      <c r="G1" s="236"/>
      <c r="H1" s="236"/>
      <c r="I1" s="236"/>
      <c r="J1" s="236"/>
      <c r="K1" s="29"/>
      <c r="L1" s="30"/>
    </row>
    <row r="2" spans="1:12" ht="15" customHeight="1">
      <c r="A2" s="237" t="s">
        <v>302</v>
      </c>
      <c r="B2" s="238"/>
      <c r="C2" s="238"/>
      <c r="D2" s="238"/>
      <c r="E2" s="238"/>
      <c r="F2" s="238"/>
      <c r="G2" s="238"/>
      <c r="H2" s="238"/>
      <c r="I2" s="238"/>
      <c r="J2" s="238"/>
      <c r="K2" s="31"/>
      <c r="L2" s="32"/>
    </row>
    <row r="3" spans="1:12" ht="15" customHeight="1">
      <c r="A3" s="239" t="s">
        <v>56</v>
      </c>
      <c r="B3" s="240"/>
      <c r="C3" s="33"/>
      <c r="D3" s="161" t="s">
        <v>57</v>
      </c>
      <c r="E3" s="33"/>
      <c r="F3" s="33"/>
      <c r="G3" s="33"/>
      <c r="H3" s="33"/>
      <c r="I3" s="35"/>
      <c r="J3" s="162"/>
    </row>
    <row r="4" spans="1:12" ht="15" customHeight="1">
      <c r="A4" s="36"/>
      <c r="B4" s="37"/>
      <c r="C4" s="37"/>
      <c r="D4" s="241" t="s">
        <v>217</v>
      </c>
      <c r="E4" s="242"/>
      <c r="F4" s="242"/>
      <c r="G4" s="242"/>
      <c r="H4" s="39"/>
      <c r="I4" s="39"/>
      <c r="J4" s="164"/>
    </row>
    <row r="5" spans="1:12" ht="15" customHeight="1">
      <c r="A5" s="41"/>
      <c r="C5" s="42"/>
      <c r="D5" s="165"/>
      <c r="E5" s="43"/>
      <c r="F5" s="43"/>
      <c r="J5" s="166"/>
    </row>
    <row r="6" spans="1:12">
      <c r="A6" s="45" t="s">
        <v>58</v>
      </c>
      <c r="B6" s="33"/>
      <c r="C6" s="33"/>
      <c r="D6" s="167" t="s">
        <v>59</v>
      </c>
      <c r="E6" s="33"/>
      <c r="F6" s="33"/>
      <c r="G6" s="33"/>
      <c r="H6" s="33"/>
      <c r="I6" s="33"/>
      <c r="J6" s="162"/>
    </row>
    <row r="7" spans="1:12" ht="15" customHeight="1">
      <c r="A7" s="36"/>
      <c r="B7" s="47"/>
      <c r="C7" s="47"/>
      <c r="D7" s="163" t="s">
        <v>55</v>
      </c>
      <c r="E7" s="39"/>
      <c r="F7" s="39"/>
      <c r="G7" s="39"/>
      <c r="H7" s="39"/>
      <c r="I7" s="39"/>
      <c r="J7" s="164"/>
    </row>
    <row r="8" spans="1:12" ht="15" customHeight="1">
      <c r="A8" s="41"/>
      <c r="B8" s="33"/>
      <c r="C8" s="33"/>
      <c r="D8" s="168"/>
      <c r="E8" s="33"/>
      <c r="F8" s="33"/>
      <c r="G8" s="33"/>
      <c r="H8" s="33"/>
      <c r="I8" s="33"/>
      <c r="J8" s="166"/>
      <c r="L8" s="43"/>
    </row>
    <row r="9" spans="1:12" ht="25.5" customHeight="1">
      <c r="A9" s="45" t="s">
        <v>82</v>
      </c>
      <c r="B9" s="33"/>
      <c r="C9" s="33"/>
      <c r="D9" s="167" t="s">
        <v>60</v>
      </c>
      <c r="E9" s="48" t="s">
        <v>92</v>
      </c>
      <c r="F9" s="48" t="s">
        <v>303</v>
      </c>
      <c r="G9" s="312" t="s">
        <v>61</v>
      </c>
      <c r="H9" s="333"/>
      <c r="I9" s="249" t="s">
        <v>62</v>
      </c>
      <c r="J9" s="250"/>
      <c r="K9" s="251"/>
    </row>
    <row r="10" spans="1:12" ht="39.75" customHeight="1">
      <c r="A10" s="52"/>
      <c r="B10" s="39"/>
      <c r="C10" s="39"/>
      <c r="D10" s="126" t="s">
        <v>279</v>
      </c>
      <c r="E10" s="169">
        <f>[4]BDI!C25</f>
        <v>0.26160902957841059</v>
      </c>
      <c r="F10" s="169">
        <f>'BDI Diferenciado'!C25</f>
        <v>0.15278047942916406</v>
      </c>
      <c r="G10" s="334">
        <f>I90</f>
        <v>1357029.9200000002</v>
      </c>
      <c r="H10" s="335"/>
      <c r="I10" s="336" t="s">
        <v>346</v>
      </c>
      <c r="J10" s="337"/>
      <c r="K10" s="338"/>
      <c r="L10" s="132">
        <f>G10*4</f>
        <v>5428119.6800000006</v>
      </c>
    </row>
    <row r="11" spans="1:12" ht="19.5" customHeight="1">
      <c r="A11" s="329" t="s">
        <v>304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132"/>
    </row>
    <row r="12" spans="1:12" ht="12.75" customHeight="1">
      <c r="A12" s="245"/>
      <c r="B12" s="245"/>
      <c r="C12" s="245"/>
      <c r="D12" s="245"/>
      <c r="E12" s="245"/>
      <c r="F12" s="245"/>
      <c r="G12" s="245"/>
      <c r="H12" s="245"/>
      <c r="I12" s="245"/>
      <c r="J12" s="245"/>
      <c r="K12" s="245"/>
    </row>
    <row r="13" spans="1:12" ht="27.75" customHeight="1">
      <c r="A13" s="170" t="s">
        <v>305</v>
      </c>
      <c r="B13" s="170" t="s">
        <v>14</v>
      </c>
      <c r="C13" s="53" t="s">
        <v>65</v>
      </c>
      <c r="D13" s="54" t="s">
        <v>66</v>
      </c>
      <c r="E13" s="54" t="s">
        <v>67</v>
      </c>
      <c r="F13" s="54" t="s">
        <v>68</v>
      </c>
      <c r="G13" s="54" t="s">
        <v>69</v>
      </c>
      <c r="H13" s="54" t="s">
        <v>70</v>
      </c>
      <c r="I13" s="54" t="s">
        <v>71</v>
      </c>
      <c r="J13" s="171" t="s">
        <v>64</v>
      </c>
      <c r="K13" s="54" t="s">
        <v>306</v>
      </c>
    </row>
    <row r="14" spans="1:12" ht="39.6">
      <c r="A14" s="172">
        <v>1</v>
      </c>
      <c r="B14" s="173">
        <f t="shared" ref="B14:J14" si="0">B116</f>
        <v>10966</v>
      </c>
      <c r="C14" s="174" t="str">
        <f t="shared" si="0"/>
        <v>SINAPI
 INSUMOS
BDI DIFERENCIADO</v>
      </c>
      <c r="D14" s="175" t="str">
        <f t="shared" si="0"/>
        <v>PERFIL "U" DE ACO LAMINADO, "U" 152 X 15,6</v>
      </c>
      <c r="E14" s="173" t="str">
        <f t="shared" si="0"/>
        <v>kg</v>
      </c>
      <c r="F14" s="176">
        <f t="shared" si="0"/>
        <v>14429.52</v>
      </c>
      <c r="G14" s="177">
        <f t="shared" si="0"/>
        <v>11.85</v>
      </c>
      <c r="H14" s="178">
        <f t="shared" si="0"/>
        <v>13.66</v>
      </c>
      <c r="I14" s="179">
        <f t="shared" si="0"/>
        <v>197107.24</v>
      </c>
      <c r="J14" s="180">
        <f t="shared" si="0"/>
        <v>0.14524900084737996</v>
      </c>
      <c r="K14" s="181">
        <f>J14</f>
        <v>0.14524900084737996</v>
      </c>
      <c r="L14" t="str">
        <f t="shared" ref="L14:L45" si="1">IF(K14&lt;$H$95,$G$95,IF(K14&lt;$H$96,$G$96,$G$97))</f>
        <v>A</v>
      </c>
    </row>
    <row r="15" spans="1:12" ht="39.6">
      <c r="A15" s="172">
        <v>2</v>
      </c>
      <c r="B15" s="173">
        <f t="shared" ref="B15:J15" si="2">B117</f>
        <v>4777</v>
      </c>
      <c r="C15" s="174" t="str">
        <f t="shared" si="2"/>
        <v>SINAPI
 INSUMOS
BDI DIFERENCIADO</v>
      </c>
      <c r="D15" s="175" t="str">
        <f t="shared" si="2"/>
        <v>CANTONEIRA ACO ABAS IGUAIS (QUALQUER BITOLA), ESPESSURA ENTRE 1/8" E 1/4"</v>
      </c>
      <c r="E15" s="173" t="str">
        <f t="shared" si="2"/>
        <v>kg</v>
      </c>
      <c r="F15" s="176">
        <f t="shared" si="2"/>
        <v>13172.91</v>
      </c>
      <c r="G15" s="177">
        <f t="shared" si="2"/>
        <v>10.42</v>
      </c>
      <c r="H15" s="178">
        <f t="shared" si="2"/>
        <v>12.01</v>
      </c>
      <c r="I15" s="179">
        <f t="shared" si="2"/>
        <v>158206.64000000001</v>
      </c>
      <c r="J15" s="180">
        <f t="shared" si="2"/>
        <v>0.11658301535459144</v>
      </c>
      <c r="K15" s="181">
        <f>K14+J15</f>
        <v>0.26183201620197138</v>
      </c>
      <c r="L15" t="str">
        <f t="shared" si="1"/>
        <v>A</v>
      </c>
    </row>
    <row r="16" spans="1:12" ht="26.4">
      <c r="A16" s="172">
        <v>3</v>
      </c>
      <c r="B16" s="173">
        <f t="shared" ref="B16:J16" si="3">B118</f>
        <v>94213</v>
      </c>
      <c r="C16" s="174" t="str">
        <f t="shared" si="3"/>
        <v>SINAPI</v>
      </c>
      <c r="D16" s="175" t="str">
        <f t="shared" si="3"/>
        <v>TELHAMENTO COM TELHA DE AÇO/ALUMÍNIO E = 0,5 MM, COM ATÉ 2 ÁGUAS, INCLUSO IÇAMENTO. AF_07/2019</v>
      </c>
      <c r="E16" s="173" t="str">
        <f t="shared" si="3"/>
        <v>m²</v>
      </c>
      <c r="F16" s="176">
        <f t="shared" si="3"/>
        <v>1644.59</v>
      </c>
      <c r="G16" s="177">
        <f t="shared" si="3"/>
        <v>73.08</v>
      </c>
      <c r="H16" s="178">
        <f t="shared" si="3"/>
        <v>90.27</v>
      </c>
      <c r="I16" s="179">
        <f t="shared" si="3"/>
        <v>148457.13</v>
      </c>
      <c r="J16" s="180">
        <f t="shared" si="3"/>
        <v>0.10939856801388725</v>
      </c>
      <c r="K16" s="181">
        <f t="shared" ref="K16:K54" si="4">K15+J16</f>
        <v>0.37123058421585864</v>
      </c>
      <c r="L16" t="str">
        <f t="shared" si="1"/>
        <v>A</v>
      </c>
    </row>
    <row r="17" spans="1:12" ht="39.6">
      <c r="A17" s="172">
        <v>4</v>
      </c>
      <c r="B17" s="173" t="str">
        <f t="shared" ref="B17:J17" si="5">B119</f>
        <v>COMP 07</v>
      </c>
      <c r="C17" s="174" t="str">
        <f t="shared" si="5"/>
        <v>COMPOSIÇÃO
(SINAPI 100775)</v>
      </c>
      <c r="D17" s="175" t="str">
        <f t="shared" si="5"/>
        <v>MONTAGEM DE ESTRUTURA METÁLICA DE PILARES E COBERTURA EM AÇO ASTM A36, INCLUSO PERFIS METÁLICOS, CHAPAS METÁLICAS E PINTURA</v>
      </c>
      <c r="E17" s="173" t="str">
        <f t="shared" si="5"/>
        <v>kg</v>
      </c>
      <c r="F17" s="176">
        <f t="shared" si="5"/>
        <v>25492.71</v>
      </c>
      <c r="G17" s="177">
        <f t="shared" si="5"/>
        <v>4.26</v>
      </c>
      <c r="H17" s="178">
        <f t="shared" si="5"/>
        <v>5.26</v>
      </c>
      <c r="I17" s="179">
        <f t="shared" si="5"/>
        <v>134091.65</v>
      </c>
      <c r="J17" s="180">
        <f t="shared" si="5"/>
        <v>9.8812596556456161E-2</v>
      </c>
      <c r="K17" s="181">
        <f t="shared" si="4"/>
        <v>0.47004318077231477</v>
      </c>
      <c r="L17" t="str">
        <f t="shared" si="1"/>
        <v>A</v>
      </c>
    </row>
    <row r="18" spans="1:12" ht="52.8">
      <c r="A18" s="172">
        <v>5</v>
      </c>
      <c r="B18" s="173">
        <f t="shared" ref="B18:J18" si="6">B120</f>
        <v>101166</v>
      </c>
      <c r="C18" s="174" t="str">
        <f t="shared" si="6"/>
        <v>SINAPI</v>
      </c>
      <c r="D18" s="175" t="str">
        <f t="shared" si="6"/>
        <v>ALVENARIA DE EMBASAMENTO COM BLOCO ESTRUTURAL DE CERÂMICA, DE 14X19X29CM E ARGAMASSA DE ASSENTAMENTO COM PREPARO EM BETONEIRA. AF_05/2020 (ARQUIBANCADA)</v>
      </c>
      <c r="E18" s="173" t="str">
        <f t="shared" si="6"/>
        <v>m³</v>
      </c>
      <c r="F18" s="176">
        <f t="shared" si="6"/>
        <v>136.12</v>
      </c>
      <c r="G18" s="177">
        <f t="shared" si="6"/>
        <v>565.21</v>
      </c>
      <c r="H18" s="178">
        <f t="shared" si="6"/>
        <v>698.23</v>
      </c>
      <c r="I18" s="179">
        <f t="shared" si="6"/>
        <v>95043.06</v>
      </c>
      <c r="J18" s="180">
        <f t="shared" si="6"/>
        <v>7.0037556725352071E-2</v>
      </c>
      <c r="K18" s="181">
        <f t="shared" si="4"/>
        <v>0.54008073749766683</v>
      </c>
      <c r="L18" t="str">
        <f t="shared" si="1"/>
        <v>A</v>
      </c>
    </row>
    <row r="19" spans="1:12" ht="39.6">
      <c r="A19" s="172">
        <v>6</v>
      </c>
      <c r="B19" s="173">
        <f t="shared" ref="B19:J19" si="7">B121</f>
        <v>97096</v>
      </c>
      <c r="C19" s="174" t="str">
        <f t="shared" si="7"/>
        <v>SINAPI</v>
      </c>
      <c r="D19" s="175" t="str">
        <f t="shared" si="7"/>
        <v>CONCRETAGEM DE RADIER, PISO DE CONCRETO OU LAJE SOBRE SOLO, FCK 30 MPA - LANÇAMENTO, ADENSAMENTO E ACABAMENTO. AF_09/2021</v>
      </c>
      <c r="E19" s="173" t="str">
        <f t="shared" si="7"/>
        <v>m³</v>
      </c>
      <c r="F19" s="176">
        <f t="shared" si="7"/>
        <v>87.79</v>
      </c>
      <c r="G19" s="177">
        <f t="shared" si="7"/>
        <v>567.36</v>
      </c>
      <c r="H19" s="178">
        <f t="shared" si="7"/>
        <v>700.89</v>
      </c>
      <c r="I19" s="179">
        <f t="shared" si="7"/>
        <v>61531.13</v>
      </c>
      <c r="J19" s="180">
        <f t="shared" si="7"/>
        <v>4.5342500628136474E-2</v>
      </c>
      <c r="K19" s="181">
        <f t="shared" si="4"/>
        <v>0.58542323812580332</v>
      </c>
      <c r="L19" t="str">
        <f t="shared" si="1"/>
        <v>A</v>
      </c>
    </row>
    <row r="20" spans="1:12" ht="39.6">
      <c r="A20" s="172">
        <v>7</v>
      </c>
      <c r="B20" s="173">
        <f t="shared" ref="B20:J20" si="8">B122</f>
        <v>96556</v>
      </c>
      <c r="C20" s="174" t="str">
        <f t="shared" si="8"/>
        <v>SINAPI</v>
      </c>
      <c r="D20" s="175" t="str">
        <f t="shared" si="8"/>
        <v>CONCRETAGEM DE SAPATAS, FCK 30 MPA, COM USO DE JERICA  LANÇAMENTO, ADENSAMENTO E ACABAMENTO. AF_06/2017</v>
      </c>
      <c r="E20" s="173" t="str">
        <f t="shared" si="8"/>
        <v>m³</v>
      </c>
      <c r="F20" s="176">
        <f t="shared" si="8"/>
        <v>46.38</v>
      </c>
      <c r="G20" s="177">
        <f t="shared" si="8"/>
        <v>788.91</v>
      </c>
      <c r="H20" s="178">
        <f t="shared" si="8"/>
        <v>974.58</v>
      </c>
      <c r="I20" s="179">
        <f t="shared" si="8"/>
        <v>45201.02</v>
      </c>
      <c r="J20" s="180">
        <f t="shared" si="8"/>
        <v>3.3308786588876385E-2</v>
      </c>
      <c r="K20" s="181">
        <f t="shared" si="4"/>
        <v>0.6187320247146797</v>
      </c>
      <c r="L20" t="str">
        <f t="shared" si="1"/>
        <v>A</v>
      </c>
    </row>
    <row r="21" spans="1:12" ht="26.4">
      <c r="A21" s="172">
        <v>8</v>
      </c>
      <c r="B21" s="173">
        <f t="shared" ref="B21:J21" si="9">B123</f>
        <v>97097</v>
      </c>
      <c r="C21" s="174" t="str">
        <f t="shared" si="9"/>
        <v>SINAPI</v>
      </c>
      <c r="D21" s="175" t="str">
        <f t="shared" si="9"/>
        <v>ACABAMENTO POLIDO PARA PISO DE CONCRETO ARMADO OU LAJE SOBRE SOLO DE ALTA RESISTÊNCIA. AF_09/2021</v>
      </c>
      <c r="E21" s="173" t="str">
        <f t="shared" si="9"/>
        <v>m²</v>
      </c>
      <c r="F21" s="176">
        <f t="shared" si="9"/>
        <v>760</v>
      </c>
      <c r="G21" s="177">
        <f t="shared" si="9"/>
        <v>40.83</v>
      </c>
      <c r="H21" s="178">
        <f t="shared" si="9"/>
        <v>50.43</v>
      </c>
      <c r="I21" s="179">
        <f t="shared" si="9"/>
        <v>38326.800000000003</v>
      </c>
      <c r="J21" s="180">
        <f t="shared" si="9"/>
        <v>2.8243150305779549E-2</v>
      </c>
      <c r="K21" s="181">
        <f t="shared" si="4"/>
        <v>0.6469751750204592</v>
      </c>
      <c r="L21" t="str">
        <f t="shared" si="1"/>
        <v>A</v>
      </c>
    </row>
    <row r="22" spans="1:12" ht="66">
      <c r="A22" s="172">
        <v>9</v>
      </c>
      <c r="B22" s="173">
        <f t="shared" ref="B22:J22" si="10">B124</f>
        <v>102364</v>
      </c>
      <c r="C22" s="174" t="str">
        <f t="shared" si="10"/>
        <v>SINAPI</v>
      </c>
      <c r="D22" s="175" t="str">
        <f t="shared" si="10"/>
        <v>ALAMBRADO PARA QUADRA POLIESPORTIVA, ESTRUTURADO POR TUBOS DE ACO GALVANIZADO, (MONTANTES COM DIAMETRO 2", TRAVESSAS E ESCORAS COM DIÂMETRO 1 ¼), COM TELA DE ARAME GALVANIZADO, FIO 10 BWG E MALHA QUADRADA 5X5CM (EXCETO MURETA). AF_03/2021</v>
      </c>
      <c r="E22" s="173" t="str">
        <f t="shared" si="10"/>
        <v>m²</v>
      </c>
      <c r="F22" s="176">
        <f t="shared" si="10"/>
        <v>138.24</v>
      </c>
      <c r="G22" s="177">
        <f t="shared" si="10"/>
        <v>206.91</v>
      </c>
      <c r="H22" s="178">
        <f t="shared" si="10"/>
        <v>255.6</v>
      </c>
      <c r="I22" s="179">
        <f t="shared" si="10"/>
        <v>35334.14</v>
      </c>
      <c r="J22" s="180">
        <f t="shared" si="10"/>
        <v>2.6037848892823231E-2</v>
      </c>
      <c r="K22" s="181">
        <f t="shared" si="4"/>
        <v>0.67301302391328244</v>
      </c>
      <c r="L22" t="str">
        <f t="shared" si="1"/>
        <v>A</v>
      </c>
    </row>
    <row r="23" spans="1:12" ht="26.4">
      <c r="A23" s="172">
        <v>10</v>
      </c>
      <c r="B23" s="173">
        <f t="shared" ref="B23:J23" si="11">B125</f>
        <v>98577</v>
      </c>
      <c r="C23" s="174" t="str">
        <f t="shared" si="11"/>
        <v>SINAPI</v>
      </c>
      <c r="D23" s="175" t="str">
        <f t="shared" si="11"/>
        <v>TRATAMENTO DE JUNTA SERRADA, COM TARUGO DE POLIETILENO E SELANTE À BASE DE SILICONE. AF_09/2023</v>
      </c>
      <c r="E23" s="173" t="str">
        <f t="shared" si="11"/>
        <v>m</v>
      </c>
      <c r="F23" s="176">
        <f t="shared" si="11"/>
        <v>608</v>
      </c>
      <c r="G23" s="177">
        <f t="shared" si="11"/>
        <v>46.16</v>
      </c>
      <c r="H23" s="178">
        <f t="shared" si="11"/>
        <v>57.02</v>
      </c>
      <c r="I23" s="179">
        <f t="shared" si="11"/>
        <v>34668.160000000003</v>
      </c>
      <c r="J23" s="180">
        <f t="shared" si="11"/>
        <v>2.5547085947817568E-2</v>
      </c>
      <c r="K23" s="181">
        <f t="shared" si="4"/>
        <v>0.69856010986109995</v>
      </c>
      <c r="L23" t="str">
        <f t="shared" si="1"/>
        <v>A</v>
      </c>
    </row>
    <row r="24" spans="1:12" ht="26.4">
      <c r="A24" s="172">
        <v>11</v>
      </c>
      <c r="B24" s="173">
        <f t="shared" ref="B24:J24" si="12">B126</f>
        <v>92269</v>
      </c>
      <c r="C24" s="174" t="str">
        <f t="shared" si="12"/>
        <v>SINAPI</v>
      </c>
      <c r="D24" s="175" t="str">
        <f t="shared" si="12"/>
        <v>FABRICAÇÃO DE FÔRMA PARA PILARES E ESTRUTURAS SIMILARES, EM MADEIRA SERRADA, E=25 MM. AF_09/2020</v>
      </c>
      <c r="E24" s="173" t="str">
        <f t="shared" si="12"/>
        <v>m²</v>
      </c>
      <c r="F24" s="176">
        <f t="shared" si="12"/>
        <v>165.76</v>
      </c>
      <c r="G24" s="177">
        <f t="shared" si="12"/>
        <v>160.97999999999999</v>
      </c>
      <c r="H24" s="178">
        <f t="shared" si="12"/>
        <v>198.86</v>
      </c>
      <c r="I24" s="179">
        <f t="shared" si="12"/>
        <v>32963.03</v>
      </c>
      <c r="J24" s="180">
        <f t="shared" si="12"/>
        <v>2.4290569805564783E-2</v>
      </c>
      <c r="K24" s="181">
        <f t="shared" si="4"/>
        <v>0.72285067966666472</v>
      </c>
      <c r="L24" t="str">
        <f t="shared" si="1"/>
        <v>A</v>
      </c>
    </row>
    <row r="25" spans="1:12" ht="39.6">
      <c r="A25" s="172">
        <v>12</v>
      </c>
      <c r="B25" s="173">
        <f t="shared" ref="B25:J25" si="13">B127</f>
        <v>96535</v>
      </c>
      <c r="C25" s="174" t="str">
        <f t="shared" si="13"/>
        <v>SINAPI</v>
      </c>
      <c r="D25" s="175" t="str">
        <f t="shared" si="13"/>
        <v>FABRICAÇÃO, MONTAGEM E DESMONTAGEM DE FÔRMA PARA SAPATA, EM MADEIRA SERRADA, E=25 MM, 4 UTILIZAÇÕES. AF_06/2017</v>
      </c>
      <c r="E25" s="173" t="str">
        <f t="shared" si="13"/>
        <v>m²</v>
      </c>
      <c r="F25" s="176">
        <f t="shared" si="13"/>
        <v>144.63999999999999</v>
      </c>
      <c r="G25" s="177">
        <f t="shared" si="13"/>
        <v>159.99</v>
      </c>
      <c r="H25" s="178">
        <f t="shared" si="13"/>
        <v>197.64</v>
      </c>
      <c r="I25" s="179">
        <f t="shared" si="13"/>
        <v>28586.639999999999</v>
      </c>
      <c r="J25" s="180">
        <f t="shared" si="13"/>
        <v>2.1065593012127543E-2</v>
      </c>
      <c r="K25" s="181">
        <f t="shared" si="4"/>
        <v>0.74391627267879223</v>
      </c>
      <c r="L25" t="str">
        <f t="shared" si="1"/>
        <v>A</v>
      </c>
    </row>
    <row r="26" spans="1:12" ht="26.4">
      <c r="A26" s="172">
        <v>13</v>
      </c>
      <c r="B26" s="173">
        <f t="shared" ref="B26:J26" si="14">B128</f>
        <v>92270</v>
      </c>
      <c r="C26" s="174" t="str">
        <f t="shared" si="14"/>
        <v>SINAPI</v>
      </c>
      <c r="D26" s="175" t="str">
        <f t="shared" si="14"/>
        <v>FABRICAÇÃO DE FÔRMA PARA VIGAS, COM MADEIRA SERRADA, E = 25 MM. AF_09/2020</v>
      </c>
      <c r="E26" s="173" t="str">
        <f t="shared" si="14"/>
        <v>m²</v>
      </c>
      <c r="F26" s="176">
        <f t="shared" si="14"/>
        <v>116.19</v>
      </c>
      <c r="G26" s="177">
        <f t="shared" si="14"/>
        <v>194.42</v>
      </c>
      <c r="H26" s="178">
        <f t="shared" si="14"/>
        <v>240.17</v>
      </c>
      <c r="I26" s="179">
        <f t="shared" si="14"/>
        <v>27905.35</v>
      </c>
      <c r="J26" s="180">
        <f t="shared" si="14"/>
        <v>2.0563548075638594E-2</v>
      </c>
      <c r="K26" s="181">
        <f t="shared" si="4"/>
        <v>0.76447982075443077</v>
      </c>
      <c r="L26" t="str">
        <f t="shared" si="1"/>
        <v>A</v>
      </c>
    </row>
    <row r="27" spans="1:12" ht="39.6">
      <c r="A27" s="172">
        <v>14</v>
      </c>
      <c r="B27" s="173">
        <f t="shared" ref="B27:J27" si="15">B129</f>
        <v>101162</v>
      </c>
      <c r="C27" s="174" t="str">
        <f t="shared" si="15"/>
        <v>SINAPI</v>
      </c>
      <c r="D27" s="175" t="str">
        <f t="shared" si="15"/>
        <v>ALVENARIA DE VEDAÇÃO COM ELEMENTO VAZADO DE CERÂMICA (COBOGÓ) DE 7X20X20CM E ARGAMASSA DE ASSENTAMENTO COM PREPARO EM BETONEIRA. AF_05/2020</v>
      </c>
      <c r="E27" s="173" t="str">
        <f t="shared" si="15"/>
        <v>m³</v>
      </c>
      <c r="F27" s="176">
        <f t="shared" si="15"/>
        <v>162.34</v>
      </c>
      <c r="G27" s="177">
        <f t="shared" si="15"/>
        <v>131.47</v>
      </c>
      <c r="H27" s="178">
        <f t="shared" si="15"/>
        <v>162.41</v>
      </c>
      <c r="I27" s="179">
        <f t="shared" si="15"/>
        <v>26365.63</v>
      </c>
      <c r="J27" s="180">
        <f t="shared" si="15"/>
        <v>1.9428923129417807E-2</v>
      </c>
      <c r="K27" s="181">
        <f t="shared" si="4"/>
        <v>0.78390874388384857</v>
      </c>
      <c r="L27" t="str">
        <f t="shared" si="1"/>
        <v>A</v>
      </c>
    </row>
    <row r="28" spans="1:12" ht="26.4">
      <c r="A28" s="172">
        <v>15</v>
      </c>
      <c r="B28" s="173">
        <f t="shared" ref="B28:J28" si="16">B130</f>
        <v>96546</v>
      </c>
      <c r="C28" s="174" t="str">
        <f t="shared" si="16"/>
        <v>SINAPI</v>
      </c>
      <c r="D28" s="175" t="str">
        <f t="shared" si="16"/>
        <v>ARMAÇÃO DE BLOCO, VIGA BALDRAME OU SAPATA UTILIZANDO AÇO CA-50 DE 10 MM - MONTAGEM. AF_06/2017</v>
      </c>
      <c r="E28" s="173" t="str">
        <f t="shared" si="16"/>
        <v>kg</v>
      </c>
      <c r="F28" s="176">
        <f t="shared" si="16"/>
        <v>1199.27</v>
      </c>
      <c r="G28" s="177">
        <f t="shared" si="16"/>
        <v>14.86</v>
      </c>
      <c r="H28" s="178">
        <f t="shared" si="16"/>
        <v>18.350000000000001</v>
      </c>
      <c r="I28" s="179">
        <f t="shared" si="16"/>
        <v>22006.6</v>
      </c>
      <c r="J28" s="180">
        <f t="shared" si="16"/>
        <v>1.6216738979491326E-2</v>
      </c>
      <c r="K28" s="181">
        <f t="shared" si="4"/>
        <v>0.80012548286333984</v>
      </c>
      <c r="L28" t="str">
        <f t="shared" si="1"/>
        <v>B</v>
      </c>
    </row>
    <row r="29" spans="1:12" ht="26.4">
      <c r="A29" s="172">
        <v>16</v>
      </c>
      <c r="B29" s="173">
        <f t="shared" ref="B29:J29" si="17">B131</f>
        <v>96547</v>
      </c>
      <c r="C29" s="174" t="str">
        <f t="shared" si="17"/>
        <v>SINAPI</v>
      </c>
      <c r="D29" s="175" t="str">
        <f t="shared" si="17"/>
        <v>ARMAÇÃO DE BLOCO, VIGA BALDRAME E SAPATA UTILIZANDO AÇO CA-50 DE 12,5 MM - MONTAGEM. AF_06/2017</v>
      </c>
      <c r="E29" s="173" t="str">
        <f t="shared" si="17"/>
        <v>kg</v>
      </c>
      <c r="F29" s="176">
        <f t="shared" si="17"/>
        <v>1277.81</v>
      </c>
      <c r="G29" s="177">
        <f t="shared" si="17"/>
        <v>12.51</v>
      </c>
      <c r="H29" s="178">
        <f t="shared" si="17"/>
        <v>15.45</v>
      </c>
      <c r="I29" s="179">
        <f t="shared" si="17"/>
        <v>19742.16</v>
      </c>
      <c r="J29" s="180">
        <f t="shared" si="17"/>
        <v>1.4548065380901844E-2</v>
      </c>
      <c r="K29" s="181">
        <f t="shared" si="4"/>
        <v>0.81467354824424165</v>
      </c>
      <c r="L29" t="str">
        <f t="shared" si="1"/>
        <v>B</v>
      </c>
    </row>
    <row r="30" spans="1:12" ht="66">
      <c r="A30" s="172">
        <v>17</v>
      </c>
      <c r="B30" s="173">
        <f t="shared" ref="B30:J30" si="18">B132</f>
        <v>87530</v>
      </c>
      <c r="C30" s="174" t="str">
        <f t="shared" si="18"/>
        <v>SINAPI</v>
      </c>
      <c r="D30" s="175" t="str">
        <f t="shared" si="18"/>
        <v>MASSA ÚNICA, PARA RECEBIMENTO DE PINTURA, EM ARGAMASSA TRAÇO 1:2:8, PREPARO MANUAL, APLICADA MANUALMENTE EM FACES INTERNAS DE PAREDES, ESPESSURA DE 20MM, COM EXECUÇÃO DE TALISCAS. AF_06/2014</v>
      </c>
      <c r="E30" s="173" t="str">
        <f t="shared" si="18"/>
        <v>m²</v>
      </c>
      <c r="F30" s="176">
        <f t="shared" si="18"/>
        <v>290.96000000000004</v>
      </c>
      <c r="G30" s="177">
        <f t="shared" si="18"/>
        <v>44.93</v>
      </c>
      <c r="H30" s="178">
        <f t="shared" si="18"/>
        <v>55.5</v>
      </c>
      <c r="I30" s="179">
        <f t="shared" si="18"/>
        <v>16148.28</v>
      </c>
      <c r="J30" s="180">
        <f t="shared" si="18"/>
        <v>1.1899722888939692E-2</v>
      </c>
      <c r="K30" s="181">
        <f t="shared" si="4"/>
        <v>0.82657327113318135</v>
      </c>
      <c r="L30" t="str">
        <f t="shared" si="1"/>
        <v>B</v>
      </c>
    </row>
    <row r="31" spans="1:12" ht="52.8">
      <c r="A31" s="172">
        <v>18</v>
      </c>
      <c r="B31" s="173">
        <f t="shared" ref="B31:J31" si="19">B133</f>
        <v>101964</v>
      </c>
      <c r="C31" s="174" t="str">
        <f t="shared" si="19"/>
        <v>SINAPI</v>
      </c>
      <c r="D31" s="175" t="str">
        <f t="shared" si="19"/>
        <v>LAJE PRÉ-MOLDADA UNIDIRECIONAL, BIAPOIADA, PARA FORRO, ENCHIMENTO EM CERÂMICA, VIGOTA CONVENCIONAL, ALTURA TOTAL DA LAJE (ENCHIMENTO+CAPA) = (8+3). AF_11/2020_PA</v>
      </c>
      <c r="E31" s="173" t="str">
        <f t="shared" si="19"/>
        <v>m²</v>
      </c>
      <c r="F31" s="176">
        <f t="shared" si="19"/>
        <v>63.260000000000005</v>
      </c>
      <c r="G31" s="177">
        <f t="shared" si="19"/>
        <v>190.93</v>
      </c>
      <c r="H31" s="178">
        <f t="shared" si="19"/>
        <v>235.86</v>
      </c>
      <c r="I31" s="179">
        <f t="shared" si="19"/>
        <v>14920.5</v>
      </c>
      <c r="J31" s="180">
        <f t="shared" si="19"/>
        <v>1.0994967598061506E-2</v>
      </c>
      <c r="K31" s="181">
        <f t="shared" si="4"/>
        <v>0.83756823873124286</v>
      </c>
      <c r="L31" t="str">
        <f t="shared" si="1"/>
        <v>B</v>
      </c>
    </row>
    <row r="32" spans="1:12" ht="39.6">
      <c r="A32" s="172">
        <v>19</v>
      </c>
      <c r="B32" s="173">
        <f t="shared" ref="B32:J32" si="20">B134</f>
        <v>103669</v>
      </c>
      <c r="C32" s="174" t="str">
        <f t="shared" si="20"/>
        <v>SINAPI</v>
      </c>
      <c r="D32" s="175" t="str">
        <f t="shared" si="20"/>
        <v>CONCRETAGEM DE PILARES, FCK = 25 MPA,  COM USO DE BALDES - LANÇAMENTO, ADENSAMENTO E ACABAMENTO. AF_02/2022</v>
      </c>
      <c r="E32" s="173" t="str">
        <f t="shared" si="20"/>
        <v>m³</v>
      </c>
      <c r="F32" s="176">
        <f t="shared" si="20"/>
        <v>13.09</v>
      </c>
      <c r="G32" s="177">
        <f t="shared" si="20"/>
        <v>875.13</v>
      </c>
      <c r="H32" s="178">
        <f t="shared" si="20"/>
        <v>1081.0899999999999</v>
      </c>
      <c r="I32" s="179">
        <f t="shared" si="20"/>
        <v>14151.46</v>
      </c>
      <c r="J32" s="180">
        <f t="shared" si="20"/>
        <v>1.0428259385762105E-2</v>
      </c>
      <c r="K32" s="181">
        <f t="shared" si="4"/>
        <v>0.84799649811700495</v>
      </c>
      <c r="L32" t="str">
        <f t="shared" si="1"/>
        <v>B</v>
      </c>
    </row>
    <row r="33" spans="1:12" ht="39.6">
      <c r="A33" s="172">
        <v>20</v>
      </c>
      <c r="B33" s="173">
        <f t="shared" ref="B33:J33" si="21">B135</f>
        <v>96523</v>
      </c>
      <c r="C33" s="174" t="str">
        <f t="shared" si="21"/>
        <v>SINAPI</v>
      </c>
      <c r="D33" s="175" t="str">
        <f t="shared" si="21"/>
        <v>ESCAVAÇÃO MANUAL PARA BLOCO DE COROAMENTO OU SAPATA (INCLUINDO ESCAVAÇÃO PARA COLOCAÇÃO DE FÔRMAS). AF_06/2017</v>
      </c>
      <c r="E33" s="173" t="str">
        <f t="shared" si="21"/>
        <v>m³</v>
      </c>
      <c r="F33" s="176">
        <f t="shared" si="21"/>
        <v>115.75</v>
      </c>
      <c r="G33" s="177">
        <f t="shared" si="21"/>
        <v>96.48</v>
      </c>
      <c r="H33" s="178">
        <f t="shared" si="21"/>
        <v>119.18</v>
      </c>
      <c r="I33" s="179">
        <f t="shared" si="21"/>
        <v>13795.08</v>
      </c>
      <c r="J33" s="180">
        <f t="shared" si="21"/>
        <v>1.0165641742077432E-2</v>
      </c>
      <c r="K33" s="181">
        <f t="shared" si="4"/>
        <v>0.85816213985908241</v>
      </c>
      <c r="L33" t="str">
        <f t="shared" si="1"/>
        <v>B</v>
      </c>
    </row>
    <row r="34" spans="1:12" ht="39.6">
      <c r="A34" s="172">
        <v>21</v>
      </c>
      <c r="B34" s="173">
        <f t="shared" ref="B34:J34" si="22">B136</f>
        <v>99059</v>
      </c>
      <c r="C34" s="174" t="str">
        <f t="shared" si="22"/>
        <v>SINAPI</v>
      </c>
      <c r="D34" s="175" t="str">
        <f t="shared" si="22"/>
        <v>LOCACAO CONVENCIONAL DE OBRA, UTILIZANDO GABARITO DE TÁBUAS CORRIDAS PONTALETADAS A CADA 2,00M -  2 UTILIZAÇÕES. AF_10/2018</v>
      </c>
      <c r="E34" s="173" t="str">
        <f t="shared" si="22"/>
        <v>m</v>
      </c>
      <c r="F34" s="176">
        <f t="shared" si="22"/>
        <v>160</v>
      </c>
      <c r="G34" s="177">
        <f t="shared" si="22"/>
        <v>61.14</v>
      </c>
      <c r="H34" s="178">
        <f t="shared" si="22"/>
        <v>75.52</v>
      </c>
      <c r="I34" s="179">
        <f t="shared" si="22"/>
        <v>12083.2</v>
      </c>
      <c r="J34" s="180">
        <f t="shared" si="22"/>
        <v>8.9041515016853867E-3</v>
      </c>
      <c r="K34" s="181">
        <f t="shared" si="4"/>
        <v>0.86706629136076785</v>
      </c>
      <c r="L34" t="str">
        <f t="shared" si="1"/>
        <v>B</v>
      </c>
    </row>
    <row r="35" spans="1:12" ht="26.4">
      <c r="A35" s="172">
        <v>22</v>
      </c>
      <c r="B35" s="173">
        <f t="shared" ref="B35:J35" si="23">B137</f>
        <v>97088</v>
      </c>
      <c r="C35" s="174" t="str">
        <f t="shared" si="23"/>
        <v>SINAPI</v>
      </c>
      <c r="D35" s="175" t="str">
        <f t="shared" si="23"/>
        <v>ARMAÇÃO PARA EXECUÇÃO DE RADIER, PISO DE CONCRETO OU LAJE SOBRE SOLO, COM USO DE TELA Q-92. AF_09/2021</v>
      </c>
      <c r="E35" s="173" t="str">
        <f t="shared" si="23"/>
        <v>kg</v>
      </c>
      <c r="F35" s="176">
        <f t="shared" si="23"/>
        <v>608</v>
      </c>
      <c r="G35" s="177">
        <f t="shared" si="23"/>
        <v>15.84</v>
      </c>
      <c r="H35" s="178">
        <f t="shared" si="23"/>
        <v>19.559999999999999</v>
      </c>
      <c r="I35" s="179">
        <f t="shared" si="23"/>
        <v>11892.48</v>
      </c>
      <c r="J35" s="180">
        <f t="shared" si="23"/>
        <v>8.7636092798897159E-3</v>
      </c>
      <c r="K35" s="181">
        <f t="shared" si="4"/>
        <v>0.87582990064065758</v>
      </c>
      <c r="L35" t="str">
        <f t="shared" si="1"/>
        <v>B</v>
      </c>
    </row>
    <row r="36" spans="1:12" ht="66">
      <c r="A36" s="172">
        <v>23</v>
      </c>
      <c r="B36" s="173">
        <f t="shared" ref="B36:J36" si="24">B138</f>
        <v>94273</v>
      </c>
      <c r="C36" s="174" t="str">
        <f t="shared" si="24"/>
        <v>SINAPI</v>
      </c>
      <c r="D36" s="175" t="str">
        <f t="shared" si="24"/>
        <v>ASSENTAMENTO DE GUIA (MEIO-FIO) EM TRECHO RETO, CONFECCIONADA EM CONCRETO PRÉ-FABRICADO, DIMENSÕES 100X15X13X30 CM (COMPRIMENTO X BASE INFERIOR X BASE SUPERIOR X ALTURA), PARA VIAS URBANAS (USO VIÁRIO). AF_06/2016</v>
      </c>
      <c r="E36" s="173" t="str">
        <f t="shared" si="24"/>
        <v>m</v>
      </c>
      <c r="F36" s="176">
        <f t="shared" si="24"/>
        <v>136.80000000000001</v>
      </c>
      <c r="G36" s="177">
        <f t="shared" si="24"/>
        <v>59.55</v>
      </c>
      <c r="H36" s="178">
        <f t="shared" si="24"/>
        <v>73.56</v>
      </c>
      <c r="I36" s="179">
        <f t="shared" si="24"/>
        <v>10063</v>
      </c>
      <c r="J36" s="180">
        <f t="shared" si="24"/>
        <v>7.4154591963602389E-3</v>
      </c>
      <c r="K36" s="181">
        <f t="shared" si="4"/>
        <v>0.8832453598370178</v>
      </c>
      <c r="L36" t="str">
        <f t="shared" si="1"/>
        <v>B</v>
      </c>
    </row>
    <row r="37" spans="1:12" ht="26.4">
      <c r="A37" s="172">
        <v>24</v>
      </c>
      <c r="B37" s="173">
        <f t="shared" ref="B37:J37" si="25">B139</f>
        <v>96135</v>
      </c>
      <c r="C37" s="174" t="str">
        <f t="shared" si="25"/>
        <v>SINAPI</v>
      </c>
      <c r="D37" s="175" t="str">
        <f t="shared" si="25"/>
        <v>APLICAÇÃO MANUAL DE MASSA ACRÍLICA EM PAREDES EXTERNAS DE CASAS, DUAS DEMÃOS. AF_05/2017</v>
      </c>
      <c r="E37" s="173" t="str">
        <f t="shared" si="25"/>
        <v>m²</v>
      </c>
      <c r="F37" s="176">
        <f t="shared" si="25"/>
        <v>290.96000000000004</v>
      </c>
      <c r="G37" s="177">
        <f t="shared" si="25"/>
        <v>25.06</v>
      </c>
      <c r="H37" s="178">
        <f t="shared" si="25"/>
        <v>30.95</v>
      </c>
      <c r="I37" s="179">
        <f t="shared" si="25"/>
        <v>9005.2099999999991</v>
      </c>
      <c r="J37" s="180">
        <f t="shared" si="25"/>
        <v>6.635970119214467E-3</v>
      </c>
      <c r="K37" s="181">
        <f t="shared" si="4"/>
        <v>0.88988132995623226</v>
      </c>
      <c r="L37" t="str">
        <f t="shared" si="1"/>
        <v>B</v>
      </c>
    </row>
    <row r="38" spans="1:12" ht="26.4">
      <c r="A38" s="172">
        <v>25</v>
      </c>
      <c r="B38" s="173">
        <f t="shared" ref="B38:J38" si="26">B140</f>
        <v>96543</v>
      </c>
      <c r="C38" s="174" t="str">
        <f t="shared" si="26"/>
        <v>SINAPI</v>
      </c>
      <c r="D38" s="175" t="str">
        <f t="shared" si="26"/>
        <v>ARMAÇÃO DE BLOCO, VIGA BALDRAME E SAPATA UTILIZANDO AÇO CA-60 DE 5 MM - MONTAGEM. AF_06/2017</v>
      </c>
      <c r="E38" s="173" t="str">
        <f t="shared" si="26"/>
        <v>kg</v>
      </c>
      <c r="F38" s="176">
        <f t="shared" si="26"/>
        <v>376.36</v>
      </c>
      <c r="G38" s="177">
        <f t="shared" si="26"/>
        <v>19.18</v>
      </c>
      <c r="H38" s="178">
        <f t="shared" si="26"/>
        <v>23.69</v>
      </c>
      <c r="I38" s="179">
        <f t="shared" si="26"/>
        <v>8915.9599999999991</v>
      </c>
      <c r="J38" s="180">
        <f t="shared" si="26"/>
        <v>6.570201488261952E-3</v>
      </c>
      <c r="K38" s="181">
        <f t="shared" si="4"/>
        <v>0.89645153144449419</v>
      </c>
      <c r="L38" t="str">
        <f t="shared" si="1"/>
        <v>B</v>
      </c>
    </row>
    <row r="39" spans="1:12" ht="39.6">
      <c r="A39" s="172">
        <v>26</v>
      </c>
      <c r="B39" s="173">
        <f t="shared" ref="B39:J39" si="27">B141</f>
        <v>94228</v>
      </c>
      <c r="C39" s="174" t="str">
        <f t="shared" si="27"/>
        <v>SINAPI</v>
      </c>
      <c r="D39" s="175" t="str">
        <f t="shared" si="27"/>
        <v>CALHA EM CHAPA DE AÇO GALVANIZADO NÚMERO 24, DESENVOLVIMENTO DE 50 CM, INCLUSO TRANSPORTE VERTICAL. AF_07/2019</v>
      </c>
      <c r="E39" s="173" t="str">
        <f t="shared" si="27"/>
        <v>m</v>
      </c>
      <c r="F39" s="176">
        <f t="shared" si="27"/>
        <v>85.4</v>
      </c>
      <c r="G39" s="177">
        <f t="shared" si="27"/>
        <v>76.989999999999995</v>
      </c>
      <c r="H39" s="178">
        <f t="shared" si="27"/>
        <v>95.1</v>
      </c>
      <c r="I39" s="179">
        <f t="shared" si="27"/>
        <v>8121.54</v>
      </c>
      <c r="J39" s="180">
        <f t="shared" si="27"/>
        <v>5.984790666958912E-3</v>
      </c>
      <c r="K39" s="181">
        <f t="shared" si="4"/>
        <v>0.90243632211145308</v>
      </c>
      <c r="L39" t="str">
        <f t="shared" si="1"/>
        <v>B</v>
      </c>
    </row>
    <row r="40" spans="1:12" ht="52.8">
      <c r="A40" s="172">
        <v>27</v>
      </c>
      <c r="B40" s="173">
        <f t="shared" ref="B40:J40" si="28">B142</f>
        <v>103328</v>
      </c>
      <c r="C40" s="174" t="str">
        <f t="shared" si="28"/>
        <v>SINAPI</v>
      </c>
      <c r="D40" s="175" t="str">
        <f t="shared" si="28"/>
        <v>ALVENARIA DE VEDAÇÃO DE BLOCOS CERÂMICOS FURADOS NA HORIZONTAL DE 9X19X19 CM (ESPESSURA 9 CM) E ARGAMASSA DE ASSENTAMENTO COM PREPARO EM BETONEIRA. AF_12/2021</v>
      </c>
      <c r="E40" s="173" t="str">
        <f t="shared" si="28"/>
        <v>m²</v>
      </c>
      <c r="F40" s="176">
        <f t="shared" si="28"/>
        <v>77.42</v>
      </c>
      <c r="G40" s="177">
        <f t="shared" si="28"/>
        <v>80.98</v>
      </c>
      <c r="H40" s="178">
        <f t="shared" si="28"/>
        <v>100.03</v>
      </c>
      <c r="I40" s="179">
        <f t="shared" si="28"/>
        <v>7744.32</v>
      </c>
      <c r="J40" s="180">
        <f t="shared" si="28"/>
        <v>5.7068159558338986E-3</v>
      </c>
      <c r="K40" s="181">
        <f t="shared" si="4"/>
        <v>0.90814313806728697</v>
      </c>
      <c r="L40" t="str">
        <f t="shared" si="1"/>
        <v>B</v>
      </c>
    </row>
    <row r="41" spans="1:12" ht="52.8">
      <c r="A41" s="172">
        <v>28</v>
      </c>
      <c r="B41" s="173">
        <f t="shared" ref="B41:J41" si="29">B143</f>
        <v>103682</v>
      </c>
      <c r="C41" s="174" t="str">
        <f t="shared" si="29"/>
        <v>SINAPI</v>
      </c>
      <c r="D41" s="175" t="str">
        <f t="shared" si="29"/>
        <v>CONCRETAGEM DE VIGAS E LAJES, FCK=25 MPA, PARA QUALQUER TIPO DE LAJE COM BALDES EM EDIFICAÇÃO TÉRREA - LANÇAMENTO, ADENSAMENTO E ACABAMENTO. AF_02/2022</v>
      </c>
      <c r="E41" s="173" t="str">
        <f t="shared" si="29"/>
        <v>m³</v>
      </c>
      <c r="F41" s="176">
        <f t="shared" si="29"/>
        <v>6.93</v>
      </c>
      <c r="G41" s="177">
        <f t="shared" si="29"/>
        <v>892.64</v>
      </c>
      <c r="H41" s="178">
        <f t="shared" si="29"/>
        <v>1102.72</v>
      </c>
      <c r="I41" s="179">
        <f t="shared" si="29"/>
        <v>7641.84</v>
      </c>
      <c r="J41" s="180">
        <f t="shared" si="29"/>
        <v>5.6312980925284232E-3</v>
      </c>
      <c r="K41" s="181">
        <f t="shared" si="4"/>
        <v>0.91377443615981535</v>
      </c>
      <c r="L41" t="str">
        <f t="shared" si="1"/>
        <v>B</v>
      </c>
    </row>
    <row r="42" spans="1:12" ht="52.8">
      <c r="A42" s="172">
        <v>29</v>
      </c>
      <c r="B42" s="173">
        <f t="shared" ref="B42:J42" si="30">B144</f>
        <v>97907</v>
      </c>
      <c r="C42" s="174" t="str">
        <f t="shared" si="30"/>
        <v>SINAPI</v>
      </c>
      <c r="D42" s="175" t="str">
        <f t="shared" si="30"/>
        <v>CAIXA ENTERRADA HIDRÁULICA RETANGULAR, EM ALVENARIA COM BLOCOS DE CONCRETO, DIMENSÕES INTERNAS: 0,8X0,8X0,6 M PARA REDE DE ESGOTO. AF_12/2020</v>
      </c>
      <c r="E42" s="173" t="str">
        <f t="shared" si="30"/>
        <v>und</v>
      </c>
      <c r="F42" s="176">
        <f t="shared" si="30"/>
        <v>10</v>
      </c>
      <c r="G42" s="177">
        <f t="shared" si="30"/>
        <v>617.1</v>
      </c>
      <c r="H42" s="178">
        <f t="shared" si="30"/>
        <v>762.33</v>
      </c>
      <c r="I42" s="179">
        <f t="shared" si="30"/>
        <v>7623.3</v>
      </c>
      <c r="J42" s="180">
        <f t="shared" si="30"/>
        <v>5.6176359029725736E-3</v>
      </c>
      <c r="K42" s="181">
        <f t="shared" si="4"/>
        <v>0.91939207206278795</v>
      </c>
      <c r="L42" t="str">
        <f t="shared" si="1"/>
        <v>B</v>
      </c>
    </row>
    <row r="43" spans="1:12" ht="26.4">
      <c r="A43" s="172">
        <v>30</v>
      </c>
      <c r="B43" s="173" t="str">
        <f t="shared" ref="B43:J43" si="31">B145</f>
        <v>COMP 01</v>
      </c>
      <c r="C43" s="174" t="str">
        <f t="shared" si="31"/>
        <v>COMPOSIÇÃO
(ORSE 12800)</v>
      </c>
      <c r="D43" s="175" t="str">
        <f t="shared" si="31"/>
        <v>JUNTA SERRADA SECA, SEÇÃO TRANSVERSAL DIM. 5x10 a 40 mm - m</v>
      </c>
      <c r="E43" s="173" t="str">
        <f t="shared" si="31"/>
        <v>m</v>
      </c>
      <c r="F43" s="176">
        <f t="shared" si="31"/>
        <v>608</v>
      </c>
      <c r="G43" s="177">
        <f t="shared" si="31"/>
        <v>9.7899999999999991</v>
      </c>
      <c r="H43" s="178">
        <f t="shared" si="31"/>
        <v>12.09</v>
      </c>
      <c r="I43" s="179">
        <f t="shared" si="31"/>
        <v>7350.72</v>
      </c>
      <c r="J43" s="180">
        <f t="shared" si="31"/>
        <v>5.4167707665576008E-3</v>
      </c>
      <c r="K43" s="181">
        <f t="shared" si="4"/>
        <v>0.9248088428293455</v>
      </c>
      <c r="L43" t="str">
        <f t="shared" si="1"/>
        <v>B</v>
      </c>
    </row>
    <row r="44" spans="1:12" ht="39.6">
      <c r="A44" s="172">
        <v>31</v>
      </c>
      <c r="B44" s="173">
        <f t="shared" ref="B44:J44" si="32">B146</f>
        <v>88423</v>
      </c>
      <c r="C44" s="174" t="str">
        <f t="shared" si="32"/>
        <v>SINAPI</v>
      </c>
      <c r="D44" s="175" t="str">
        <f t="shared" si="32"/>
        <v>APLICAÇÃO MANUAL DE PINTURA COM TINTA TEXTURIZADA ACRÍLICA EM PAREDES EXTERNAS DE CASAS, UMA COR. AF_06/2014</v>
      </c>
      <c r="E44" s="173" t="str">
        <f t="shared" si="32"/>
        <v>m²</v>
      </c>
      <c r="F44" s="176">
        <f t="shared" si="32"/>
        <v>290.96000000000004</v>
      </c>
      <c r="G44" s="177">
        <f t="shared" si="32"/>
        <v>19.78</v>
      </c>
      <c r="H44" s="178">
        <f t="shared" si="32"/>
        <v>24.43</v>
      </c>
      <c r="I44" s="179">
        <f t="shared" si="32"/>
        <v>7108.15</v>
      </c>
      <c r="J44" s="180">
        <f t="shared" si="32"/>
        <v>5.2380201020180888E-3</v>
      </c>
      <c r="K44" s="181">
        <f t="shared" si="4"/>
        <v>0.93004686293136363</v>
      </c>
      <c r="L44" t="str">
        <f t="shared" si="1"/>
        <v>B</v>
      </c>
    </row>
    <row r="45" spans="1:12" ht="39.6">
      <c r="A45" s="172">
        <v>32</v>
      </c>
      <c r="B45" s="173" t="str">
        <f t="shared" ref="B45:J45" si="33">B147</f>
        <v>COMP 06</v>
      </c>
      <c r="C45" s="174" t="str">
        <f t="shared" si="33"/>
        <v>COMPOSIÇÃO
(ORSE 12808)</v>
      </c>
      <c r="D45" s="175" t="str">
        <f t="shared" si="33"/>
        <v>REFLETOR SLIM LED 200W DE POTÊNCIA, BRANCO FRIO, 6500K</v>
      </c>
      <c r="E45" s="173" t="str">
        <f t="shared" si="33"/>
        <v>und</v>
      </c>
      <c r="F45" s="176">
        <f t="shared" si="33"/>
        <v>24</v>
      </c>
      <c r="G45" s="177">
        <f t="shared" si="33"/>
        <v>227.46</v>
      </c>
      <c r="H45" s="178">
        <f t="shared" si="33"/>
        <v>280.99</v>
      </c>
      <c r="I45" s="179">
        <f t="shared" si="33"/>
        <v>6743.76</v>
      </c>
      <c r="J45" s="180">
        <f t="shared" si="33"/>
        <v>4.9694998618748211E-3</v>
      </c>
      <c r="K45" s="181">
        <f t="shared" si="4"/>
        <v>0.93501636279323841</v>
      </c>
      <c r="L45" t="str">
        <f t="shared" si="1"/>
        <v>B</v>
      </c>
    </row>
    <row r="46" spans="1:12" ht="52.8">
      <c r="A46" s="172">
        <v>33</v>
      </c>
      <c r="B46" s="173">
        <f t="shared" ref="B46:J46" si="34">B148</f>
        <v>92763</v>
      </c>
      <c r="C46" s="174" t="str">
        <f t="shared" si="34"/>
        <v>SINAPI</v>
      </c>
      <c r="D46" s="175" t="str">
        <f t="shared" si="34"/>
        <v>ARMAÇÃO DE PILAR OU VIGA DE ESTRUTURA CONVENCIONAL DE CONCRETO ARMADO UTILIZANDO AÇO CA-50 DE 12,5 MM - MONTAGEM. AF_06/2022</v>
      </c>
      <c r="E46" s="173" t="str">
        <f t="shared" si="34"/>
        <v>kg</v>
      </c>
      <c r="F46" s="176">
        <f t="shared" si="34"/>
        <v>433.81</v>
      </c>
      <c r="G46" s="177">
        <f t="shared" si="34"/>
        <v>11.02</v>
      </c>
      <c r="H46" s="178">
        <f t="shared" si="34"/>
        <v>13.61</v>
      </c>
      <c r="I46" s="179">
        <f t="shared" si="34"/>
        <v>5904.15</v>
      </c>
      <c r="J46" s="180">
        <f t="shared" si="34"/>
        <v>4.3507883746586803E-3</v>
      </c>
      <c r="K46" s="181">
        <f t="shared" si="4"/>
        <v>0.93936715116789704</v>
      </c>
      <c r="L46" t="str">
        <f t="shared" ref="L46:L77" si="35">IF(K46&lt;$H$95,$G$95,IF(K46&lt;$H$96,$G$96,$G$97))</f>
        <v>B</v>
      </c>
    </row>
    <row r="47" spans="1:12" ht="39.6">
      <c r="A47" s="172">
        <v>34</v>
      </c>
      <c r="B47" s="173" t="str">
        <f t="shared" ref="B47:J47" si="36">B149</f>
        <v>COMP 04</v>
      </c>
      <c r="C47" s="174" t="str">
        <f t="shared" si="36"/>
        <v>COMPOSIÇÃO
(SEINFRA C1349)</v>
      </c>
      <c r="D47" s="175" t="str">
        <f t="shared" si="36"/>
        <v>CONJUNTO PARA FUTSAL COM PAR DE TRAVES OFICIAIS DE 3,00 X 2,00 M EM TUBO DE ACO GALVANIZADO 3" COM REQUADROS EM TUBO DE 1", PINTURA EM PRIMER COM TINTA ESMALTE SINTETICO E REDES DE POLIETILENO FIO 4 MM</v>
      </c>
      <c r="E47" s="173" t="str">
        <f t="shared" si="36"/>
        <v>cj</v>
      </c>
      <c r="F47" s="176">
        <f t="shared" si="36"/>
        <v>1</v>
      </c>
      <c r="G47" s="177">
        <f t="shared" si="36"/>
        <v>4297.8</v>
      </c>
      <c r="H47" s="178">
        <f t="shared" si="36"/>
        <v>5309.3</v>
      </c>
      <c r="I47" s="179">
        <f t="shared" si="36"/>
        <v>5309.3</v>
      </c>
      <c r="J47" s="180">
        <f t="shared" si="36"/>
        <v>3.9124413704894577E-3</v>
      </c>
      <c r="K47" s="181">
        <f t="shared" si="4"/>
        <v>0.94327959253838645</v>
      </c>
      <c r="L47" t="str">
        <f t="shared" si="35"/>
        <v>B</v>
      </c>
    </row>
    <row r="48" spans="1:12" ht="39.6">
      <c r="A48" s="172">
        <v>35</v>
      </c>
      <c r="B48" s="173" t="str">
        <f t="shared" ref="B48:J48" si="37">B150</f>
        <v>COMP 02</v>
      </c>
      <c r="C48" s="174" t="str">
        <f t="shared" si="37"/>
        <v>COMPOSIÇÃO
(SEINFRA C5202)</v>
      </c>
      <c r="D48" s="175" t="str">
        <f t="shared" si="37"/>
        <v>CUMEEIRA METÁLICA</v>
      </c>
      <c r="E48" s="173" t="str">
        <f t="shared" si="37"/>
        <v>m</v>
      </c>
      <c r="F48" s="176">
        <f t="shared" si="37"/>
        <v>42.7</v>
      </c>
      <c r="G48" s="177">
        <f t="shared" si="37"/>
        <v>99.12</v>
      </c>
      <c r="H48" s="178">
        <f t="shared" si="37"/>
        <v>122.44</v>
      </c>
      <c r="I48" s="179">
        <f t="shared" si="37"/>
        <v>5228.18</v>
      </c>
      <c r="J48" s="180">
        <f t="shared" si="37"/>
        <v>3.8526637644069038E-3</v>
      </c>
      <c r="K48" s="181">
        <f t="shared" si="4"/>
        <v>0.9471322563027933</v>
      </c>
      <c r="L48" t="str">
        <f t="shared" si="35"/>
        <v>B</v>
      </c>
    </row>
    <row r="49" spans="1:12" ht="26.4">
      <c r="A49" s="172">
        <v>36</v>
      </c>
      <c r="B49" s="173">
        <f t="shared" ref="B49:J49" si="38">B151</f>
        <v>92759</v>
      </c>
      <c r="C49" s="174" t="str">
        <f t="shared" si="38"/>
        <v>SINAPI</v>
      </c>
      <c r="D49" s="175" t="str">
        <f t="shared" si="38"/>
        <v>ARMAÇÃO DE PILAR OU VIGA DE ESTRUTURA CONVENCIONAL DE CONCRETO ARMADO UTILIZANDO AÇO CA-60 DE 5,0 MM - MONTAGEM. AF_06/2022</v>
      </c>
      <c r="E49" s="173" t="str">
        <f t="shared" si="38"/>
        <v>kg</v>
      </c>
      <c r="F49" s="176">
        <f t="shared" si="38"/>
        <v>258.08999999999997</v>
      </c>
      <c r="G49" s="177">
        <f t="shared" si="38"/>
        <v>15.71</v>
      </c>
      <c r="H49" s="178">
        <f t="shared" si="38"/>
        <v>19.399999999999999</v>
      </c>
      <c r="I49" s="179">
        <f t="shared" si="38"/>
        <v>5006.9399999999996</v>
      </c>
      <c r="J49" s="180">
        <f t="shared" si="38"/>
        <v>3.6896312499874718E-3</v>
      </c>
      <c r="K49" s="181">
        <f t="shared" si="4"/>
        <v>0.95082188755278074</v>
      </c>
      <c r="L49" t="str">
        <f t="shared" si="35"/>
        <v>C</v>
      </c>
    </row>
    <row r="50" spans="1:12" ht="26.4">
      <c r="A50" s="172">
        <v>37</v>
      </c>
      <c r="B50" s="173">
        <f t="shared" ref="B50:J50" si="39">B152</f>
        <v>89580</v>
      </c>
      <c r="C50" s="174" t="str">
        <f t="shared" si="39"/>
        <v>SINAPI</v>
      </c>
      <c r="D50" s="175" t="str">
        <f t="shared" si="39"/>
        <v xml:space="preserve">TUBO PVC, SÉRIE R, ÁGUA PLUVIAL, DN 200 MM, FORNECIDO E INSTALADO EM CONDUTORES VERTICAIS DE ÁGUAS PLUVIAIS. </v>
      </c>
      <c r="E50" s="173" t="str">
        <f t="shared" si="39"/>
        <v>m</v>
      </c>
      <c r="F50" s="176">
        <f t="shared" si="39"/>
        <v>50</v>
      </c>
      <c r="G50" s="177">
        <f t="shared" si="39"/>
        <v>74.319999999999993</v>
      </c>
      <c r="H50" s="178">
        <f t="shared" si="39"/>
        <v>91.81</v>
      </c>
      <c r="I50" s="179">
        <f t="shared" si="39"/>
        <v>4590.5</v>
      </c>
      <c r="J50" s="180">
        <f t="shared" si="39"/>
        <v>3.3827551864147546E-3</v>
      </c>
      <c r="K50" s="181">
        <f t="shared" si="4"/>
        <v>0.95420464273919547</v>
      </c>
      <c r="L50" t="str">
        <f t="shared" si="35"/>
        <v>C</v>
      </c>
    </row>
    <row r="51" spans="1:12">
      <c r="A51" s="172">
        <v>38</v>
      </c>
      <c r="B51" s="173">
        <f t="shared" ref="B51:J51" si="40">B153</f>
        <v>98557</v>
      </c>
      <c r="C51" s="174" t="str">
        <f t="shared" si="40"/>
        <v>SINAPI</v>
      </c>
      <c r="D51" s="175" t="str">
        <f t="shared" si="40"/>
        <v>IMPERMEABILIZAÇÃO DE SUPERFÍCIE COM EMULSÃO ASFÁLTICA, 2 DEMÃOS. AF_09/2023</v>
      </c>
      <c r="E51" s="173" t="str">
        <f t="shared" si="40"/>
        <v>m²</v>
      </c>
      <c r="F51" s="176">
        <f t="shared" si="40"/>
        <v>82.8</v>
      </c>
      <c r="G51" s="177">
        <f t="shared" si="40"/>
        <v>43.31</v>
      </c>
      <c r="H51" s="178">
        <f t="shared" si="40"/>
        <v>53.5</v>
      </c>
      <c r="I51" s="179">
        <f t="shared" si="40"/>
        <v>4429.8</v>
      </c>
      <c r="J51" s="180">
        <f t="shared" si="40"/>
        <v>3.264334805528827E-3</v>
      </c>
      <c r="K51" s="181">
        <f t="shared" si="4"/>
        <v>0.95746897754472426</v>
      </c>
      <c r="L51" t="str">
        <f t="shared" si="35"/>
        <v>C</v>
      </c>
    </row>
    <row r="52" spans="1:12" ht="39.6">
      <c r="A52" s="172">
        <v>39</v>
      </c>
      <c r="B52" s="173">
        <f t="shared" ref="B52:J52" si="41">B154</f>
        <v>100753</v>
      </c>
      <c r="C52" s="174" t="str">
        <f t="shared" si="41"/>
        <v>SINAPI</v>
      </c>
      <c r="D52" s="175" t="str">
        <f t="shared" si="41"/>
        <v>PINTURA COM TINTA ACRÍLICA DE ACABAMENTO PULVERIZADA SOBRE SUPERFÍCIES METÁLICAS (EXCETO PERFIL) EXECUTADO EM OBRA (02 DEMÃOS). AF_01/2020_PE</v>
      </c>
      <c r="E52" s="173" t="str">
        <f t="shared" si="41"/>
        <v>m²</v>
      </c>
      <c r="F52" s="176">
        <f t="shared" si="41"/>
        <v>138.24</v>
      </c>
      <c r="G52" s="177">
        <f t="shared" si="41"/>
        <v>21.67</v>
      </c>
      <c r="H52" s="178">
        <f t="shared" si="41"/>
        <v>26.77</v>
      </c>
      <c r="I52" s="179">
        <f t="shared" si="41"/>
        <v>3700.68</v>
      </c>
      <c r="J52" s="180">
        <f t="shared" si="41"/>
        <v>2.7270437780767573E-3</v>
      </c>
      <c r="K52" s="181">
        <f t="shared" si="4"/>
        <v>0.96019602132280102</v>
      </c>
      <c r="L52" t="str">
        <f t="shared" si="35"/>
        <v>C</v>
      </c>
    </row>
    <row r="53" spans="1:12" ht="39.6">
      <c r="A53" s="172">
        <v>40</v>
      </c>
      <c r="B53" s="173">
        <f t="shared" ref="B53:J53" si="42">B155</f>
        <v>96385</v>
      </c>
      <c r="C53" s="174" t="str">
        <f t="shared" si="42"/>
        <v>SINAPI</v>
      </c>
      <c r="D53" s="175" t="str">
        <f t="shared" si="42"/>
        <v>EXECUÇÃO E COMPACTAÇÃO DE ATERRO COM SOLO PREDOMINANTEMENTE ARGILOSO - EXCLUSIVE SOLO, ESCAVAÇÃO, CARGA E TRANSPORTE. AF_11/2019</v>
      </c>
      <c r="E53" s="173" t="str">
        <f t="shared" si="42"/>
        <v>m³</v>
      </c>
      <c r="F53" s="176">
        <f t="shared" si="42"/>
        <v>227.04</v>
      </c>
      <c r="G53" s="177">
        <f t="shared" si="42"/>
        <v>12.39</v>
      </c>
      <c r="H53" s="178">
        <f t="shared" si="42"/>
        <v>15.3</v>
      </c>
      <c r="I53" s="179">
        <f t="shared" si="42"/>
        <v>3473.71</v>
      </c>
      <c r="J53" s="180">
        <f t="shared" si="42"/>
        <v>2.5597888070146603E-3</v>
      </c>
      <c r="K53" s="181">
        <f t="shared" si="4"/>
        <v>0.9627558101298157</v>
      </c>
      <c r="L53" t="str">
        <f t="shared" si="35"/>
        <v>C</v>
      </c>
    </row>
    <row r="54" spans="1:12" ht="39.6">
      <c r="A54" s="172">
        <v>41</v>
      </c>
      <c r="B54" s="173">
        <f t="shared" ref="B54:J54" si="43">B156</f>
        <v>92762</v>
      </c>
      <c r="C54" s="174" t="str">
        <f t="shared" si="43"/>
        <v>SINAPI</v>
      </c>
      <c r="D54" s="175" t="str">
        <f t="shared" si="43"/>
        <v>ARMAÇÃO DE PILAR OU VIGA DE ESTRUTURA CONVENCIONAL DE CONCRETO ARMADO UTILIZANDO AÇO CA-50 DE 10,0 MM - MONTAGEM. AF_06/2022</v>
      </c>
      <c r="E54" s="173" t="str">
        <f t="shared" si="43"/>
        <v>kg</v>
      </c>
      <c r="F54" s="176">
        <f t="shared" si="43"/>
        <v>213.36</v>
      </c>
      <c r="G54" s="177">
        <f t="shared" si="43"/>
        <v>13.06</v>
      </c>
      <c r="H54" s="178">
        <f t="shared" si="43"/>
        <v>16.13</v>
      </c>
      <c r="I54" s="179">
        <f t="shared" si="43"/>
        <v>3441.49</v>
      </c>
      <c r="J54" s="180">
        <f t="shared" si="43"/>
        <v>2.536045778563231E-3</v>
      </c>
      <c r="K54" s="181">
        <f t="shared" si="4"/>
        <v>0.96529185590837896</v>
      </c>
      <c r="L54" t="str">
        <f t="shared" si="35"/>
        <v>C</v>
      </c>
    </row>
    <row r="55" spans="1:12" ht="39.6">
      <c r="A55" s="172">
        <v>42</v>
      </c>
      <c r="B55" s="173">
        <f t="shared" ref="B55:J55" si="44">B157</f>
        <v>92761</v>
      </c>
      <c r="C55" s="174" t="str">
        <f t="shared" si="44"/>
        <v>SINAPI</v>
      </c>
      <c r="D55" s="175" t="str">
        <f t="shared" si="44"/>
        <v>ARMAÇÃO DE PILAR OU VIGA DE ESTRUTURA CONVENCIONAL DE CONCRETO ARMADO UTILIZANDO AÇO CA-50 DE 8,0 MM - MONTAGEM. AF_06/2022</v>
      </c>
      <c r="E55" s="173" t="str">
        <f t="shared" si="44"/>
        <v>kg</v>
      </c>
      <c r="F55" s="176">
        <f t="shared" si="44"/>
        <v>183.72</v>
      </c>
      <c r="G55" s="177">
        <f t="shared" si="44"/>
        <v>14.46</v>
      </c>
      <c r="H55" s="178">
        <f t="shared" si="44"/>
        <v>17.86</v>
      </c>
      <c r="I55" s="179">
        <f t="shared" si="44"/>
        <v>3281.23</v>
      </c>
      <c r="J55" s="180">
        <f t="shared" si="44"/>
        <v>2.417949635185641E-3</v>
      </c>
      <c r="K55" s="181">
        <f>K54+J55</f>
        <v>0.96770980554356456</v>
      </c>
      <c r="L55" t="str">
        <f t="shared" si="35"/>
        <v>C</v>
      </c>
    </row>
    <row r="56" spans="1:12" ht="52.8">
      <c r="A56" s="172">
        <v>43</v>
      </c>
      <c r="B56" s="173" t="str">
        <f t="shared" ref="B56:J56" si="45">B158</f>
        <v>COMP 05</v>
      </c>
      <c r="C56" s="174" t="str">
        <f t="shared" si="45"/>
        <v>COMPOSIÇÃO
(SEINFRA C1351)</v>
      </c>
      <c r="D56" s="175" t="str">
        <f t="shared" si="45"/>
        <v>CONJUNTO PARA QUADRA DE  VOLEI COM POSTES EM TUBO DE ACO GALVANIZADO 3", H = *255* CM, PINTURA EM TINTA ESMALTE SINTETICO, REDE DE NYLON COM 2 MM, MALHA 10 X 10 CM E ANTENAS OFICIAIS EM FIBRA DE VIDRO</v>
      </c>
      <c r="E56" s="173" t="str">
        <f t="shared" si="45"/>
        <v>cj</v>
      </c>
      <c r="F56" s="176">
        <f t="shared" si="45"/>
        <v>1</v>
      </c>
      <c r="G56" s="177">
        <f t="shared" si="45"/>
        <v>2611.7399999999998</v>
      </c>
      <c r="H56" s="178">
        <f t="shared" si="45"/>
        <v>3226.42</v>
      </c>
      <c r="I56" s="179">
        <f t="shared" si="45"/>
        <v>3226.42</v>
      </c>
      <c r="J56" s="180">
        <f t="shared" si="45"/>
        <v>2.3775599582948029E-3</v>
      </c>
      <c r="K56" s="181">
        <f t="shared" ref="K56:K79" si="46">K55+J56</f>
        <v>0.97008736550185937</v>
      </c>
      <c r="L56" t="str">
        <f t="shared" si="35"/>
        <v>C</v>
      </c>
    </row>
    <row r="57" spans="1:12" ht="26.4">
      <c r="A57" s="172">
        <v>44</v>
      </c>
      <c r="B57" s="173" t="str">
        <f t="shared" ref="B57:J57" si="47">B159</f>
        <v>COMP 03</v>
      </c>
      <c r="C57" s="174" t="str">
        <f t="shared" si="47"/>
        <v>COMPOSIÇÃO
(ORSE 13236)</v>
      </c>
      <c r="D57" s="175" t="str">
        <f t="shared" si="47"/>
        <v>PORTÃO EM ESTRUTURA DE TUBOS METÁLCOS PINTADOS COM TELA DE AÇO GALVANIZADO BWG 10, MALHA DE 5 CM (1,80 X 1,50 m).- UND</v>
      </c>
      <c r="E57" s="173" t="str">
        <f t="shared" si="47"/>
        <v>und</v>
      </c>
      <c r="F57" s="176">
        <f t="shared" si="47"/>
        <v>2</v>
      </c>
      <c r="G57" s="177">
        <f t="shared" si="47"/>
        <v>1055.04</v>
      </c>
      <c r="H57" s="178">
        <f t="shared" si="47"/>
        <v>1303.3399999999999</v>
      </c>
      <c r="I57" s="179">
        <f t="shared" si="47"/>
        <v>2606.6799999999998</v>
      </c>
      <c r="J57" s="180">
        <f t="shared" si="47"/>
        <v>1.9208714278016799E-3</v>
      </c>
      <c r="K57" s="181">
        <f t="shared" si="46"/>
        <v>0.9720082369296611</v>
      </c>
      <c r="L57" t="str">
        <f t="shared" si="35"/>
        <v>C</v>
      </c>
    </row>
    <row r="58" spans="1:12" ht="39.6">
      <c r="A58" s="172">
        <v>45</v>
      </c>
      <c r="B58" s="173">
        <f t="shared" ref="B58:J58" si="48">B160</f>
        <v>99814</v>
      </c>
      <c r="C58" s="174" t="str">
        <f t="shared" si="48"/>
        <v>SINAPI</v>
      </c>
      <c r="D58" s="175" t="str">
        <f t="shared" si="48"/>
        <v>LIMPEZA DE SUPERFÍCIE COM JATO DE ALTA PRESSÃO. AF_04/2019</v>
      </c>
      <c r="E58" s="173" t="str">
        <f t="shared" si="48"/>
        <v>m²</v>
      </c>
      <c r="F58" s="176">
        <f t="shared" si="48"/>
        <v>1097.3900000000001</v>
      </c>
      <c r="G58" s="177">
        <f t="shared" si="48"/>
        <v>1.91</v>
      </c>
      <c r="H58" s="178">
        <f t="shared" si="48"/>
        <v>2.35</v>
      </c>
      <c r="I58" s="179">
        <f t="shared" si="48"/>
        <v>2578.86</v>
      </c>
      <c r="J58" s="180">
        <f t="shared" si="48"/>
        <v>1.9003707744336248E-3</v>
      </c>
      <c r="K58" s="181">
        <f t="shared" si="46"/>
        <v>0.97390860770409471</v>
      </c>
      <c r="L58" t="str">
        <f t="shared" si="35"/>
        <v>C</v>
      </c>
    </row>
    <row r="59" spans="1:12" ht="52.8">
      <c r="A59" s="172">
        <v>46</v>
      </c>
      <c r="B59" s="173">
        <f t="shared" ref="B59:J59" si="49">B161</f>
        <v>91864</v>
      </c>
      <c r="C59" s="174" t="str">
        <f t="shared" si="49"/>
        <v>SINAPI</v>
      </c>
      <c r="D59" s="175" t="str">
        <f t="shared" si="49"/>
        <v>ELETRODUTO RÍGIDO ROSCÁVEL, PVC, DN 32 MM (1"), PARA CIRCUITOS TERMINAIS, INSTALADO EM FORRO - FORNECIMENTO E INSTALAÇÃO. AF_03/2023</v>
      </c>
      <c r="E59" s="173" t="str">
        <f t="shared" si="49"/>
        <v>m</v>
      </c>
      <c r="F59" s="176">
        <f t="shared" si="49"/>
        <v>135.4</v>
      </c>
      <c r="G59" s="177">
        <f t="shared" si="49"/>
        <v>15.38</v>
      </c>
      <c r="H59" s="178">
        <f t="shared" si="49"/>
        <v>18.989999999999998</v>
      </c>
      <c r="I59" s="179">
        <f t="shared" si="49"/>
        <v>2571.2399999999998</v>
      </c>
      <c r="J59" s="180">
        <f t="shared" si="49"/>
        <v>1.8947555703119645E-3</v>
      </c>
      <c r="K59" s="181">
        <f t="shared" si="46"/>
        <v>0.97580336327440664</v>
      </c>
      <c r="L59" t="str">
        <f t="shared" si="35"/>
        <v>C</v>
      </c>
    </row>
    <row r="60" spans="1:12" ht="26.4">
      <c r="A60" s="172">
        <v>47</v>
      </c>
      <c r="B60" s="173">
        <f t="shared" ref="B60:J60" si="50">B162</f>
        <v>87894</v>
      </c>
      <c r="C60" s="174" t="str">
        <f t="shared" si="50"/>
        <v>SINAPI</v>
      </c>
      <c r="D60" s="175" t="str">
        <f t="shared" si="50"/>
        <v>CHAPISCO APLICADO EM ALVENARIA (SEM PRESENÇA DE VÃOS) E ESTRUTURAS DE CONCRETO DE FACHADA, COM COLHER DE PEDREIRO.  ARGAMASSA TRAÇO 1:3 COM PREPARO EM BETONEIRA 400L. AF_10/2022</v>
      </c>
      <c r="E60" s="173" t="str">
        <f t="shared" si="50"/>
        <v>m²</v>
      </c>
      <c r="F60" s="176">
        <f t="shared" si="50"/>
        <v>290.96000000000004</v>
      </c>
      <c r="G60" s="177">
        <f t="shared" si="50"/>
        <v>6.71</v>
      </c>
      <c r="H60" s="178">
        <f t="shared" si="50"/>
        <v>8.2799999999999994</v>
      </c>
      <c r="I60" s="179">
        <f t="shared" si="50"/>
        <v>2409.14</v>
      </c>
      <c r="J60" s="180">
        <f t="shared" si="50"/>
        <v>1.7753035246267817E-3</v>
      </c>
      <c r="K60" s="181">
        <f t="shared" si="46"/>
        <v>0.97757866679903338</v>
      </c>
      <c r="L60" t="str">
        <f t="shared" si="35"/>
        <v>C</v>
      </c>
    </row>
    <row r="61" spans="1:12" ht="26.4">
      <c r="A61" s="172">
        <v>48</v>
      </c>
      <c r="B61" s="173">
        <f t="shared" ref="B61:J61" si="51">B163</f>
        <v>96545</v>
      </c>
      <c r="C61" s="174" t="str">
        <f t="shared" si="51"/>
        <v>SINAPI</v>
      </c>
      <c r="D61" s="175" t="str">
        <f t="shared" si="51"/>
        <v>ARMAÇÃO DE BLOCO, VIGA BALDRAME OU SAPATA UTILIZANDO AÇO CA-50 DE 8 MM - MONTAGEM. AF_06/2017</v>
      </c>
      <c r="E61" s="173" t="str">
        <f t="shared" si="51"/>
        <v>kg</v>
      </c>
      <c r="F61" s="176">
        <f t="shared" si="51"/>
        <v>113.63</v>
      </c>
      <c r="G61" s="177">
        <f t="shared" si="51"/>
        <v>16.649999999999999</v>
      </c>
      <c r="H61" s="178">
        <f t="shared" si="51"/>
        <v>20.56</v>
      </c>
      <c r="I61" s="179">
        <f t="shared" si="51"/>
        <v>2336.23</v>
      </c>
      <c r="J61" s="180">
        <f t="shared" si="51"/>
        <v>1.7215758956884309E-3</v>
      </c>
      <c r="K61" s="181">
        <f t="shared" si="46"/>
        <v>0.97930024269472182</v>
      </c>
      <c r="L61" t="str">
        <f t="shared" si="35"/>
        <v>C</v>
      </c>
    </row>
    <row r="62" spans="1:12" ht="39.6">
      <c r="A62" s="172">
        <v>49</v>
      </c>
      <c r="B62" s="173">
        <f t="shared" ref="B62:J62" si="52">B164</f>
        <v>103689</v>
      </c>
      <c r="C62" s="174" t="str">
        <f t="shared" si="52"/>
        <v>SINAPI</v>
      </c>
      <c r="D62" s="175" t="str">
        <f t="shared" si="52"/>
        <v>FORNECIMENTO E INSTALAÇÃO DE PLACA DE OBRA COM CHAPA GALVANIZADA E ESTRUTURA DE MADEIRA. AF_03/2022_PS</v>
      </c>
      <c r="E62" s="173" t="str">
        <f t="shared" si="52"/>
        <v>m²</v>
      </c>
      <c r="F62" s="176">
        <f t="shared" si="52"/>
        <v>6</v>
      </c>
      <c r="G62" s="177">
        <f t="shared" si="52"/>
        <v>312.68</v>
      </c>
      <c r="H62" s="178">
        <f t="shared" si="52"/>
        <v>386.27</v>
      </c>
      <c r="I62" s="179">
        <f t="shared" si="52"/>
        <v>2317.62</v>
      </c>
      <c r="J62" s="180">
        <f t="shared" si="52"/>
        <v>1.7078621228926181E-3</v>
      </c>
      <c r="K62" s="181">
        <f t="shared" si="46"/>
        <v>0.98100810481761447</v>
      </c>
      <c r="L62" t="str">
        <f t="shared" si="35"/>
        <v>C</v>
      </c>
    </row>
    <row r="63" spans="1:12" ht="39.6">
      <c r="A63" s="172">
        <v>50</v>
      </c>
      <c r="B63" s="173">
        <f t="shared" ref="B63:J63" si="53">B165</f>
        <v>89580</v>
      </c>
      <c r="C63" s="174" t="str">
        <f t="shared" si="53"/>
        <v>SINAPI</v>
      </c>
      <c r="D63" s="175" t="str">
        <f t="shared" si="53"/>
        <v>TUBO PVC, SÉRIE R, ÁGUA PLUVIAL, DN 150 MM, FORNECIDO E INSTALADO EM CONDUTORES VERTICAIS DE ÁGUAS PLUVIAIS. AF_06/2022</v>
      </c>
      <c r="E63" s="173" t="str">
        <f t="shared" si="53"/>
        <v>m</v>
      </c>
      <c r="F63" s="176">
        <f t="shared" si="53"/>
        <v>25</v>
      </c>
      <c r="G63" s="177">
        <f t="shared" si="53"/>
        <v>74.319999999999993</v>
      </c>
      <c r="H63" s="178">
        <f t="shared" si="53"/>
        <v>91.81</v>
      </c>
      <c r="I63" s="179">
        <f t="shared" si="53"/>
        <v>2295.25</v>
      </c>
      <c r="J63" s="180">
        <f t="shared" si="53"/>
        <v>1.6913775932073773E-3</v>
      </c>
      <c r="K63" s="181">
        <f t="shared" si="46"/>
        <v>0.98269948241082183</v>
      </c>
      <c r="L63" t="str">
        <f t="shared" si="35"/>
        <v>C</v>
      </c>
    </row>
    <row r="64" spans="1:12" ht="39.6">
      <c r="A64" s="172">
        <v>51</v>
      </c>
      <c r="B64" s="173">
        <f t="shared" ref="B64:J64" si="54">B166</f>
        <v>96617</v>
      </c>
      <c r="C64" s="174" t="str">
        <f t="shared" si="54"/>
        <v>SINAPI</v>
      </c>
      <c r="D64" s="175" t="str">
        <f t="shared" si="54"/>
        <v>LASTRO DE CONCRETO MAGRO, APLICADO EM BLOCOS DE COROAMENTO OU SAPATAS, ESPESSURA DE 3 CM. AF_08/2017</v>
      </c>
      <c r="E64" s="173" t="str">
        <f t="shared" si="54"/>
        <v>m²</v>
      </c>
      <c r="F64" s="176">
        <f t="shared" si="54"/>
        <v>77.17</v>
      </c>
      <c r="G64" s="177">
        <f t="shared" si="54"/>
        <v>19.809999999999999</v>
      </c>
      <c r="H64" s="178">
        <f t="shared" si="54"/>
        <v>24.47</v>
      </c>
      <c r="I64" s="179">
        <f t="shared" si="54"/>
        <v>1888.34</v>
      </c>
      <c r="J64" s="180">
        <f t="shared" si="54"/>
        <v>1.3915242193038749E-3</v>
      </c>
      <c r="K64" s="181">
        <f t="shared" si="46"/>
        <v>0.98409100663012572</v>
      </c>
      <c r="L64" t="str">
        <f t="shared" si="35"/>
        <v>C</v>
      </c>
    </row>
    <row r="65" spans="1:12" ht="26.4">
      <c r="A65" s="172">
        <v>52</v>
      </c>
      <c r="B65" s="173">
        <f t="shared" ref="B65:J65" si="55">B167</f>
        <v>104737</v>
      </c>
      <c r="C65" s="174" t="str">
        <f t="shared" si="55"/>
        <v>SINAPI</v>
      </c>
      <c r="D65" s="175" t="str">
        <f t="shared" si="55"/>
        <v>REATERRO MANUAL DE VALAS, COM PLACA VIBRATÓRIA. AF_08/2023</v>
      </c>
      <c r="E65" s="173" t="str">
        <f t="shared" si="55"/>
        <v>m³</v>
      </c>
      <c r="F65" s="176">
        <f t="shared" si="55"/>
        <v>69.37</v>
      </c>
      <c r="G65" s="177">
        <f t="shared" si="55"/>
        <v>21.44</v>
      </c>
      <c r="H65" s="178">
        <f t="shared" si="55"/>
        <v>26.48</v>
      </c>
      <c r="I65" s="179">
        <f t="shared" si="55"/>
        <v>1836.91</v>
      </c>
      <c r="J65" s="180">
        <f t="shared" si="55"/>
        <v>1.3536252759998098E-3</v>
      </c>
      <c r="K65" s="181">
        <f t="shared" si="46"/>
        <v>0.98544463190612552</v>
      </c>
      <c r="L65" t="str">
        <f t="shared" si="35"/>
        <v>C</v>
      </c>
    </row>
    <row r="66" spans="1:12" ht="39.6">
      <c r="A66" s="172">
        <v>53</v>
      </c>
      <c r="B66" s="173">
        <f t="shared" ref="B66:J66" si="56">B168</f>
        <v>89578</v>
      </c>
      <c r="C66" s="174" t="str">
        <f t="shared" si="56"/>
        <v>SINAPI</v>
      </c>
      <c r="D66" s="175" t="str">
        <f t="shared" si="56"/>
        <v>TUBO PVC, SÉRIE R, ÁGUA PLUVIAL, DN 100 MM, FORNECIDO E INSTALADO EM CONDUTORES VERTICAIS DE ÁGUAS PLUVIAIS. AF_06/2022</v>
      </c>
      <c r="E66" s="173" t="str">
        <f t="shared" si="56"/>
        <v>m</v>
      </c>
      <c r="F66" s="176">
        <f t="shared" si="56"/>
        <v>40</v>
      </c>
      <c r="G66" s="177">
        <f t="shared" si="56"/>
        <v>35.840000000000003</v>
      </c>
      <c r="H66" s="178">
        <f t="shared" si="56"/>
        <v>44.27</v>
      </c>
      <c r="I66" s="179">
        <f t="shared" si="56"/>
        <v>1770.8</v>
      </c>
      <c r="J66" s="180">
        <f t="shared" si="56"/>
        <v>1.3049085903721266E-3</v>
      </c>
      <c r="K66" s="181">
        <f t="shared" si="46"/>
        <v>0.98674954049649766</v>
      </c>
      <c r="L66" t="str">
        <f t="shared" si="35"/>
        <v>C</v>
      </c>
    </row>
    <row r="67" spans="1:12" ht="39.6">
      <c r="A67" s="172">
        <v>54</v>
      </c>
      <c r="B67" s="173">
        <f t="shared" ref="B67:J67" si="57">B169</f>
        <v>96527</v>
      </c>
      <c r="C67" s="174" t="str">
        <f t="shared" si="57"/>
        <v>SINAPI</v>
      </c>
      <c r="D67" s="175" t="str">
        <f t="shared" si="57"/>
        <v>ESCAVAÇÃO MANUAL DE VALA PARA VIGA BALDRAME (INCLUINDO ESCAVAÇÃO PARA COLOCAÇÃO DE FÔRMAS). AF_06/2017</v>
      </c>
      <c r="E67" s="173" t="str">
        <f t="shared" si="57"/>
        <v>m³</v>
      </c>
      <c r="F67" s="176">
        <f t="shared" si="57"/>
        <v>11.04</v>
      </c>
      <c r="G67" s="177">
        <f t="shared" si="57"/>
        <v>126.72</v>
      </c>
      <c r="H67" s="178">
        <f t="shared" si="57"/>
        <v>156.54</v>
      </c>
      <c r="I67" s="179">
        <f t="shared" si="57"/>
        <v>1728.2</v>
      </c>
      <c r="J67" s="180">
        <f t="shared" si="57"/>
        <v>1.2735165043376493E-3</v>
      </c>
      <c r="K67" s="181">
        <f t="shared" si="46"/>
        <v>0.98802305700083526</v>
      </c>
      <c r="L67" t="str">
        <f t="shared" si="35"/>
        <v>C</v>
      </c>
    </row>
    <row r="68" spans="1:12" ht="39.6">
      <c r="A68" s="172">
        <v>55</v>
      </c>
      <c r="B68" s="173">
        <f t="shared" ref="B68:J68" si="58">B170</f>
        <v>92759</v>
      </c>
      <c r="C68" s="174" t="str">
        <f t="shared" si="58"/>
        <v>SINAPI</v>
      </c>
      <c r="D68" s="175" t="str">
        <f t="shared" si="58"/>
        <v>ARMAÇÃO DE PILAR OU VIGA DE ESTRUTURA CONVENCIONAL DE CONCRETO ARMADO UTILIZANDO AÇO CA-60 DE 5,0 MM - MONTAGEM. AF_06/2022</v>
      </c>
      <c r="E68" s="173" t="str">
        <f t="shared" si="58"/>
        <v>kg</v>
      </c>
      <c r="F68" s="176">
        <f t="shared" si="58"/>
        <v>87</v>
      </c>
      <c r="G68" s="177">
        <f t="shared" si="58"/>
        <v>15.71</v>
      </c>
      <c r="H68" s="178">
        <f t="shared" si="58"/>
        <v>19.399999999999999</v>
      </c>
      <c r="I68" s="179">
        <f t="shared" si="58"/>
        <v>1687.8</v>
      </c>
      <c r="J68" s="180">
        <f t="shared" si="58"/>
        <v>1.2437456058448583E-3</v>
      </c>
      <c r="K68" s="181">
        <f t="shared" si="46"/>
        <v>0.9892668026066801</v>
      </c>
      <c r="L68" t="str">
        <f t="shared" si="35"/>
        <v>C</v>
      </c>
    </row>
    <row r="69" spans="1:12" ht="39.6">
      <c r="A69" s="172">
        <v>56</v>
      </c>
      <c r="B69" s="173">
        <f t="shared" ref="B69:J69" si="59">B171</f>
        <v>1333</v>
      </c>
      <c r="C69" s="174" t="str">
        <f t="shared" si="59"/>
        <v>SINAPI
 INSUMOS
BDI DIFERENCIADO</v>
      </c>
      <c r="D69" s="175" t="str">
        <f t="shared" si="59"/>
        <v>CHAPA DE ACO GROSSA, ASTM A36, E = 1/2 " (12,70 MM) 99,59 KG/M2</v>
      </c>
      <c r="E69" s="173" t="str">
        <f t="shared" si="59"/>
        <v>kg</v>
      </c>
      <c r="F69" s="176">
        <f t="shared" si="59"/>
        <v>163.76</v>
      </c>
      <c r="G69" s="177">
        <f t="shared" si="59"/>
        <v>8.5500000000000007</v>
      </c>
      <c r="H69" s="178">
        <f t="shared" si="59"/>
        <v>9.85</v>
      </c>
      <c r="I69" s="179">
        <f t="shared" si="59"/>
        <v>1613.03</v>
      </c>
      <c r="J69" s="180">
        <f t="shared" si="59"/>
        <v>1.1886473365303543E-3</v>
      </c>
      <c r="K69" s="181">
        <f t="shared" si="46"/>
        <v>0.99045544994321044</v>
      </c>
      <c r="L69" t="str">
        <f t="shared" si="35"/>
        <v>C</v>
      </c>
    </row>
    <row r="70" spans="1:12" ht="39.6">
      <c r="A70" s="172">
        <v>57</v>
      </c>
      <c r="B70" s="173">
        <f t="shared" ref="B70:J70" si="60">B172</f>
        <v>91924</v>
      </c>
      <c r="C70" s="174" t="str">
        <f t="shared" si="60"/>
        <v>SINAPI</v>
      </c>
      <c r="D70" s="175" t="str">
        <f t="shared" si="60"/>
        <v>CABO DE COBRE FLEXÍVEL ISOLADO, 1,5 MM², ANTI-CHAMA 450/750 V, PARA CIRCUITOS TERMINAIS - FORNECIMENTO E INSTALAÇÃO. AF_03/2023</v>
      </c>
      <c r="E70" s="173" t="str">
        <f t="shared" si="60"/>
        <v>m</v>
      </c>
      <c r="F70" s="176">
        <f t="shared" si="60"/>
        <v>465.8</v>
      </c>
      <c r="G70" s="177">
        <f t="shared" si="60"/>
        <v>2.75</v>
      </c>
      <c r="H70" s="178">
        <f t="shared" si="60"/>
        <v>3.39</v>
      </c>
      <c r="I70" s="179">
        <f t="shared" si="60"/>
        <v>1579.06</v>
      </c>
      <c r="J70" s="180">
        <f t="shared" si="60"/>
        <v>1.1636147270798567E-3</v>
      </c>
      <c r="K70" s="181">
        <f t="shared" si="46"/>
        <v>0.99161906467029026</v>
      </c>
      <c r="L70" t="str">
        <f t="shared" si="35"/>
        <v>C</v>
      </c>
    </row>
    <row r="71" spans="1:12" ht="39.6">
      <c r="A71" s="172">
        <v>58</v>
      </c>
      <c r="B71" s="173">
        <f t="shared" ref="B71:J71" si="61">B173</f>
        <v>92764</v>
      </c>
      <c r="C71" s="174" t="str">
        <f t="shared" si="61"/>
        <v>SINAPI</v>
      </c>
      <c r="D71" s="175" t="str">
        <f t="shared" si="61"/>
        <v>ARMAÇÃO DE PILAR OU VIGA DE ESTRUTURA CONVENCIONAL DE CONCRETO ARMADO UTILIZANDO AÇO CA-50 DE 16 MM - MONTAGEM. AF_06/2022</v>
      </c>
      <c r="E71" s="173" t="str">
        <f t="shared" si="61"/>
        <v>kg</v>
      </c>
      <c r="F71" s="176">
        <f t="shared" si="61"/>
        <v>109.45</v>
      </c>
      <c r="G71" s="177">
        <f t="shared" si="61"/>
        <v>10.74</v>
      </c>
      <c r="H71" s="178">
        <f t="shared" si="61"/>
        <v>13.26</v>
      </c>
      <c r="I71" s="179">
        <f t="shared" si="61"/>
        <v>1451.3</v>
      </c>
      <c r="J71" s="180">
        <f t="shared" si="61"/>
        <v>1.069467945113546E-3</v>
      </c>
      <c r="K71" s="181">
        <f t="shared" si="46"/>
        <v>0.9926885326154038</v>
      </c>
      <c r="L71" t="str">
        <f t="shared" si="35"/>
        <v>C</v>
      </c>
    </row>
    <row r="72" spans="1:12" ht="39.6">
      <c r="A72" s="172">
        <v>59</v>
      </c>
      <c r="B72" s="173">
        <f t="shared" ref="B72:J72" si="62">B174</f>
        <v>10997</v>
      </c>
      <c r="C72" s="174" t="str">
        <f t="shared" si="62"/>
        <v>SINAPI
 INSUMOS
BDI DIFERENCIADO</v>
      </c>
      <c r="D72" s="175" t="str">
        <f t="shared" si="62"/>
        <v>ELETRODO REVESTIDO AWS - E7018, DIAMETRO IGUAL A 4,00 MM</v>
      </c>
      <c r="E72" s="173" t="str">
        <f t="shared" si="62"/>
        <v>kg</v>
      </c>
      <c r="F72" s="176">
        <f t="shared" si="62"/>
        <v>45.88</v>
      </c>
      <c r="G72" s="177">
        <f t="shared" si="62"/>
        <v>25.95</v>
      </c>
      <c r="H72" s="178">
        <f t="shared" si="62"/>
        <v>29.91</v>
      </c>
      <c r="I72" s="179">
        <f t="shared" si="62"/>
        <v>1372.27</v>
      </c>
      <c r="J72" s="180">
        <f t="shared" si="62"/>
        <v>1.0112304671955942E-3</v>
      </c>
      <c r="K72" s="181">
        <f t="shared" si="46"/>
        <v>0.99369976308259944</v>
      </c>
      <c r="L72" t="str">
        <f t="shared" si="35"/>
        <v>C</v>
      </c>
    </row>
    <row r="73" spans="1:12" ht="39.6">
      <c r="A73" s="172">
        <v>60</v>
      </c>
      <c r="B73" s="173">
        <f t="shared" ref="B73:J73" si="63">B175</f>
        <v>92763</v>
      </c>
      <c r="C73" s="174" t="str">
        <f t="shared" si="63"/>
        <v>SINAPI</v>
      </c>
      <c r="D73" s="175" t="str">
        <f t="shared" si="63"/>
        <v>ARMAÇÃO DE PILAR OU VIGA DE ESTRUTURA CONVENCIONAL DE CONCRETO ARMADO UTILIZANDO AÇO CA-50 DE 12,5 MM - MONTAGEM. AF_06/2022</v>
      </c>
      <c r="E73" s="173" t="str">
        <f t="shared" si="63"/>
        <v>kg</v>
      </c>
      <c r="F73" s="176">
        <f t="shared" si="63"/>
        <v>94.18</v>
      </c>
      <c r="G73" s="177">
        <f t="shared" si="63"/>
        <v>11.02</v>
      </c>
      <c r="H73" s="178">
        <f t="shared" si="63"/>
        <v>13.61</v>
      </c>
      <c r="I73" s="179">
        <f t="shared" si="63"/>
        <v>1281.78</v>
      </c>
      <c r="J73" s="180">
        <f t="shared" si="63"/>
        <v>9.445480759923111E-4</v>
      </c>
      <c r="K73" s="181">
        <f t="shared" si="46"/>
        <v>0.99464431115859175</v>
      </c>
      <c r="L73" t="str">
        <f t="shared" si="35"/>
        <v>C</v>
      </c>
    </row>
    <row r="74" spans="1:12" ht="26.4">
      <c r="A74" s="172">
        <v>61</v>
      </c>
      <c r="B74" s="173">
        <f t="shared" ref="B74:J74" si="64">B176</f>
        <v>96548</v>
      </c>
      <c r="C74" s="174" t="str">
        <f t="shared" si="64"/>
        <v>SINAPI</v>
      </c>
      <c r="D74" s="175" t="str">
        <f t="shared" si="64"/>
        <v>ARMAÇÃO DE BLOCO, VIGA BALDRAME E SAPATA UTILIZANDO AÇO CA-50 DE 16 MM - MONTAGEM. AF_06/2017</v>
      </c>
      <c r="E74" s="173" t="str">
        <f t="shared" si="64"/>
        <v>kg</v>
      </c>
      <c r="F74" s="176">
        <f t="shared" si="64"/>
        <v>81.45</v>
      </c>
      <c r="G74" s="177">
        <f t="shared" si="64"/>
        <v>11.81</v>
      </c>
      <c r="H74" s="178">
        <f t="shared" si="64"/>
        <v>14.58</v>
      </c>
      <c r="I74" s="179">
        <f t="shared" si="64"/>
        <v>1187.54</v>
      </c>
      <c r="J74" s="180">
        <f t="shared" si="64"/>
        <v>8.7510229693388026E-4</v>
      </c>
      <c r="K74" s="181">
        <f t="shared" si="46"/>
        <v>0.99551941345552564</v>
      </c>
      <c r="L74" t="str">
        <f t="shared" si="35"/>
        <v>C</v>
      </c>
    </row>
    <row r="75" spans="1:12" ht="39.6">
      <c r="A75" s="172">
        <v>62</v>
      </c>
      <c r="B75" s="173">
        <f t="shared" ref="B75:J75" si="65">B177</f>
        <v>91865</v>
      </c>
      <c r="C75" s="174" t="str">
        <f t="shared" si="65"/>
        <v>SINAPI</v>
      </c>
      <c r="D75" s="175" t="str">
        <f t="shared" si="65"/>
        <v>ELETRODUTO RÍGIDO ROSCÁVEL, PVC, DN 40 MM (1 1/4"), PARA CIRCUITOS TERMINAIS, INSTALADO EM FORRO - FORNECIMENTO E INSTALAÇÃO. AF_03/2023</v>
      </c>
      <c r="E75" s="173" t="str">
        <f t="shared" si="65"/>
        <v>m</v>
      </c>
      <c r="F75" s="176">
        <f t="shared" si="65"/>
        <v>40.74</v>
      </c>
      <c r="G75" s="177">
        <f t="shared" si="65"/>
        <v>19.32</v>
      </c>
      <c r="H75" s="178">
        <f t="shared" si="65"/>
        <v>23.86</v>
      </c>
      <c r="I75" s="179">
        <f t="shared" si="65"/>
        <v>972.05</v>
      </c>
      <c r="J75" s="180">
        <f t="shared" si="65"/>
        <v>7.1630697722567516E-4</v>
      </c>
      <c r="K75" s="181">
        <f t="shared" si="46"/>
        <v>0.99623572043275133</v>
      </c>
      <c r="L75" t="str">
        <f t="shared" si="35"/>
        <v>C</v>
      </c>
    </row>
    <row r="76" spans="1:12" ht="39.6">
      <c r="A76" s="172">
        <v>63</v>
      </c>
      <c r="B76" s="173">
        <f t="shared" ref="B76:J76" si="66">B178</f>
        <v>102492</v>
      </c>
      <c r="C76" s="174" t="str">
        <f t="shared" si="66"/>
        <v>SINAPI</v>
      </c>
      <c r="D76" s="175" t="str">
        <f t="shared" si="66"/>
        <v>PINTURA DE PISO COM TINTA ACRÍLICA, APLICAÇÃO MANUAL, 3 DEMÃOS, INCLUSO FUNDO PREPARADOR. AF_05/2021 (DEMARCAÇÃO)</v>
      </c>
      <c r="E76" s="173" t="str">
        <f t="shared" si="66"/>
        <v>m²</v>
      </c>
      <c r="F76" s="176">
        <f t="shared" si="66"/>
        <v>26.83</v>
      </c>
      <c r="G76" s="177">
        <f t="shared" si="66"/>
        <v>25.97</v>
      </c>
      <c r="H76" s="178">
        <f t="shared" si="66"/>
        <v>32.08</v>
      </c>
      <c r="I76" s="179">
        <f t="shared" si="66"/>
        <v>860.7</v>
      </c>
      <c r="J76" s="180">
        <f t="shared" si="66"/>
        <v>6.3425278051349072E-4</v>
      </c>
      <c r="K76" s="181">
        <f t="shared" si="46"/>
        <v>0.99686997321326487</v>
      </c>
      <c r="L76" t="str">
        <f t="shared" si="35"/>
        <v>C</v>
      </c>
    </row>
    <row r="77" spans="1:12" ht="39.6">
      <c r="A77" s="172">
        <v>64</v>
      </c>
      <c r="B77" s="173">
        <f t="shared" ref="B77:J77" si="67">B179</f>
        <v>98525</v>
      </c>
      <c r="C77" s="174" t="str">
        <f t="shared" si="67"/>
        <v>SINAPI</v>
      </c>
      <c r="D77" s="175" t="str">
        <f t="shared" si="67"/>
        <v>LIMPEZA MECANIZADA DE CAMADA VEGETAL, VEGETAÇÃO E PEQUENAS ÁRVORES (DIÂMETRO DE TRONCO MENOR QUE 0,20 M), COM TRATOR DE ESTEIRAS.AF_05/2018</v>
      </c>
      <c r="E77" s="173" t="str">
        <f t="shared" si="67"/>
        <v>m²</v>
      </c>
      <c r="F77" s="176">
        <f t="shared" si="67"/>
        <v>1118</v>
      </c>
      <c r="G77" s="177">
        <f t="shared" si="67"/>
        <v>0.41</v>
      </c>
      <c r="H77" s="178">
        <f t="shared" si="67"/>
        <v>0.5</v>
      </c>
      <c r="I77" s="179">
        <f t="shared" si="67"/>
        <v>559</v>
      </c>
      <c r="J77" s="180">
        <f t="shared" si="67"/>
        <v>4.1192901627401106E-4</v>
      </c>
      <c r="K77" s="181">
        <f t="shared" si="46"/>
        <v>0.99728190222953883</v>
      </c>
      <c r="L77" t="str">
        <f t="shared" si="35"/>
        <v>C</v>
      </c>
    </row>
    <row r="78" spans="1:12" ht="39.6">
      <c r="A78" s="172">
        <v>65</v>
      </c>
      <c r="B78" s="173">
        <f t="shared" ref="B78:J78" si="68">B180</f>
        <v>91928</v>
      </c>
      <c r="C78" s="174" t="str">
        <f t="shared" si="68"/>
        <v>SINAPI</v>
      </c>
      <c r="D78" s="175" t="str">
        <f t="shared" si="68"/>
        <v>CABO DE COBRE FLEXÍVEL ISOLADO, 4 MM², ANTI-CHAMA 450/750 V, PARA CIRCUITOS TERMINAIS - FORNECIMENTO E INSTALAÇÃO. AF_03/2023</v>
      </c>
      <c r="E78" s="173" t="str">
        <f t="shared" si="68"/>
        <v>m</v>
      </c>
      <c r="F78" s="176">
        <f t="shared" si="68"/>
        <v>62.88</v>
      </c>
      <c r="G78" s="177">
        <f t="shared" si="68"/>
        <v>6.05</v>
      </c>
      <c r="H78" s="178">
        <f t="shared" si="68"/>
        <v>7.47</v>
      </c>
      <c r="I78" s="179">
        <f t="shared" si="68"/>
        <v>469.71</v>
      </c>
      <c r="J78" s="180">
        <f t="shared" si="68"/>
        <v>3.4613090918437519E-4</v>
      </c>
      <c r="K78" s="181">
        <f t="shared" si="46"/>
        <v>0.99762803313872317</v>
      </c>
      <c r="L78" t="str">
        <f t="shared" ref="L78:L79" si="69">IF(K78&lt;$H$95,$G$95,IF(K78&lt;$H$96,$G$96,$G$97))</f>
        <v>C</v>
      </c>
    </row>
    <row r="79" spans="1:12" ht="39.6">
      <c r="A79" s="172">
        <v>66</v>
      </c>
      <c r="B79" s="173">
        <f t="shared" ref="B79:J79" si="70">B181</f>
        <v>1332</v>
      </c>
      <c r="C79" s="174" t="str">
        <f t="shared" si="70"/>
        <v>SINAPI
 INSUMOS
BDI DIFERENCIADO</v>
      </c>
      <c r="D79" s="175" t="str">
        <f t="shared" si="70"/>
        <v>CHAPA DE ACO GROSSA, ASTM A36, E = 3/8 " (9,53 MM) 74,69 KG/M2</v>
      </c>
      <c r="E79" s="173" t="str">
        <f t="shared" si="70"/>
        <v>kg</v>
      </c>
      <c r="F79" s="176">
        <f t="shared" si="70"/>
        <v>46.338098967000001</v>
      </c>
      <c r="G79" s="177">
        <f t="shared" si="70"/>
        <v>8.68</v>
      </c>
      <c r="H79" s="178">
        <f t="shared" si="70"/>
        <v>10</v>
      </c>
      <c r="I79" s="179">
        <f t="shared" si="70"/>
        <v>463.38</v>
      </c>
      <c r="J79" s="180">
        <f t="shared" si="70"/>
        <v>3.4146631048488597E-4</v>
      </c>
      <c r="K79" s="181">
        <f t="shared" si="46"/>
        <v>0.9979694994492081</v>
      </c>
      <c r="L79" t="str">
        <f t="shared" si="69"/>
        <v>C</v>
      </c>
    </row>
    <row r="80" spans="1:12" ht="52.8">
      <c r="A80" s="172">
        <v>67</v>
      </c>
      <c r="B80" s="173">
        <f t="shared" ref="B80:J80" si="71">B182</f>
        <v>89746</v>
      </c>
      <c r="C80" s="174" t="str">
        <f t="shared" si="71"/>
        <v>SINAPI</v>
      </c>
      <c r="D80" s="175" t="str">
        <f t="shared" si="71"/>
        <v>JOELHO 45 GRAUS, PVC, SERIE NORMAL, ESGOTO PREDIAL, DN 100 MM, JUNTA ELÁSTICA, FORNECIDO E INSTALADO EM RAMAL DE DESCARGA OU RAMAL DE ESGOTO SANITÁRIO. AF_08/2022</v>
      </c>
      <c r="E80" s="173" t="str">
        <f t="shared" si="71"/>
        <v>und</v>
      </c>
      <c r="F80" s="176">
        <f t="shared" si="71"/>
        <v>12</v>
      </c>
      <c r="G80" s="177">
        <f t="shared" si="71"/>
        <v>30.13</v>
      </c>
      <c r="H80" s="178">
        <f t="shared" si="71"/>
        <v>37.22</v>
      </c>
      <c r="I80" s="179">
        <f t="shared" si="71"/>
        <v>446.64</v>
      </c>
      <c r="J80" s="180">
        <f t="shared" si="71"/>
        <v>3.2913054709950677E-4</v>
      </c>
      <c r="K80" s="181">
        <f t="shared" ref="K80:K89" si="72">K79+J80</f>
        <v>0.99829862999630758</v>
      </c>
    </row>
    <row r="81" spans="1:12" ht="52.8">
      <c r="A81" s="172">
        <v>68</v>
      </c>
      <c r="B81" s="173">
        <f t="shared" ref="B81:J81" si="73">B183</f>
        <v>101875</v>
      </c>
      <c r="C81" s="174" t="str">
        <f t="shared" si="73"/>
        <v>SINAPI</v>
      </c>
      <c r="D81" s="175" t="str">
        <f t="shared" si="73"/>
        <v>QUADRO DE DISTRIBUIÇÃO DE ENERGIA EM CHAPA DE AÇO GALVANIZADO, DE EMBUTIR, COM BARRAMENTO TRIFÁSICO, PARA 12 DISJUNTORES DIN 100A - FORNECIMENTO E INSTALAÇÃO. AF_10/2020</v>
      </c>
      <c r="E81" s="173" t="str">
        <f t="shared" si="73"/>
        <v>und</v>
      </c>
      <c r="F81" s="176">
        <f t="shared" si="73"/>
        <v>1</v>
      </c>
      <c r="G81" s="177">
        <f t="shared" si="73"/>
        <v>358.15</v>
      </c>
      <c r="H81" s="178">
        <f t="shared" si="73"/>
        <v>442.44</v>
      </c>
      <c r="I81" s="179">
        <f t="shared" si="73"/>
        <v>442.44</v>
      </c>
      <c r="J81" s="180">
        <f t="shared" si="73"/>
        <v>3.2603555270174143E-4</v>
      </c>
      <c r="K81" s="181">
        <f t="shared" si="72"/>
        <v>0.9986246655490093</v>
      </c>
    </row>
    <row r="82" spans="1:12" ht="52.8">
      <c r="A82" s="172">
        <v>69</v>
      </c>
      <c r="B82" s="173">
        <f t="shared" ref="B82:J82" si="74">B184</f>
        <v>89744</v>
      </c>
      <c r="C82" s="174" t="str">
        <f t="shared" si="74"/>
        <v>SINAPI</v>
      </c>
      <c r="D82" s="175" t="str">
        <f t="shared" si="74"/>
        <v>JOELHO 90 GRAUS, PVC, SERIE NORMAL, ESGOTO PREDIAL, DN 100 MM, JUNTA ELÁSTICA, FORNECIDO E INSTALADO EM RAMAL DE DESCARGA OU RAMAL DE ESGOTO SANITÁRIO. AF_08/2022</v>
      </c>
      <c r="E82" s="173" t="str">
        <f t="shared" si="74"/>
        <v>und</v>
      </c>
      <c r="F82" s="176">
        <f t="shared" si="74"/>
        <v>12</v>
      </c>
      <c r="G82" s="177">
        <f t="shared" si="74"/>
        <v>29.21</v>
      </c>
      <c r="H82" s="178">
        <f t="shared" si="74"/>
        <v>36.08</v>
      </c>
      <c r="I82" s="179">
        <f t="shared" si="74"/>
        <v>432.96</v>
      </c>
      <c r="J82" s="180">
        <f t="shared" si="74"/>
        <v>3.1904970820392813E-4</v>
      </c>
      <c r="K82" s="181">
        <f t="shared" si="72"/>
        <v>0.99894371525721326</v>
      </c>
    </row>
    <row r="83" spans="1:12" ht="39.6">
      <c r="A83" s="172">
        <v>70</v>
      </c>
      <c r="B83" s="173">
        <f t="shared" ref="B83:J83" si="75">B185</f>
        <v>93008</v>
      </c>
      <c r="C83" s="174" t="str">
        <f t="shared" si="75"/>
        <v>SINAPI</v>
      </c>
      <c r="D83" s="175" t="str">
        <f t="shared" si="75"/>
        <v>ELETRODUTO RÍGIDO ROSCÁVEL, PVC, DN 50 MM (1 1/2"), PARA REDE ENTERRADA DE DISTRIBUIÇÃO DE ENERGIA ELÉTRICA - FORNECIMENTO E INSTALAÇÃO. AF_12/2021</v>
      </c>
      <c r="E83" s="173" t="str">
        <f t="shared" si="75"/>
        <v>m</v>
      </c>
      <c r="F83" s="176">
        <f t="shared" si="75"/>
        <v>15.72</v>
      </c>
      <c r="G83" s="177">
        <f t="shared" si="75"/>
        <v>19.010000000000002</v>
      </c>
      <c r="H83" s="178">
        <f t="shared" si="75"/>
        <v>23.48</v>
      </c>
      <c r="I83" s="179">
        <f t="shared" si="75"/>
        <v>369.1</v>
      </c>
      <c r="J83" s="180">
        <f t="shared" si="75"/>
        <v>2.7199105528933362E-4</v>
      </c>
      <c r="K83" s="181">
        <f t="shared" si="72"/>
        <v>0.99921570631250256</v>
      </c>
    </row>
    <row r="84" spans="1:12" ht="39.6">
      <c r="A84" s="172">
        <v>71</v>
      </c>
      <c r="B84" s="173">
        <f t="shared" ref="B84:J84" si="76">B186</f>
        <v>89567</v>
      </c>
      <c r="C84" s="174" t="str">
        <f t="shared" si="76"/>
        <v>SINAPI</v>
      </c>
      <c r="D84" s="175" t="str">
        <f t="shared" si="76"/>
        <v>JUNÇÃO SIMPLES, PVC, SERIE R, ÁGUA PLUVIAL, DN 100 X 100 MM, JUNTA ELÁSTICA, FORNECIDO E INSTALADO EM RAMAL DE ENCAMINHAMENTO. AF_06/2022</v>
      </c>
      <c r="E84" s="173" t="str">
        <f t="shared" si="76"/>
        <v>und</v>
      </c>
      <c r="F84" s="176">
        <f t="shared" si="76"/>
        <v>3</v>
      </c>
      <c r="G84" s="177">
        <f t="shared" si="76"/>
        <v>86.5</v>
      </c>
      <c r="H84" s="178">
        <f t="shared" si="76"/>
        <v>106.85</v>
      </c>
      <c r="I84" s="179">
        <f t="shared" si="76"/>
        <v>320.55</v>
      </c>
      <c r="J84" s="180">
        <f t="shared" si="76"/>
        <v>2.3621439385802191E-4</v>
      </c>
      <c r="K84" s="181">
        <f t="shared" si="72"/>
        <v>0.99945192070636057</v>
      </c>
    </row>
    <row r="85" spans="1:12" ht="26.4">
      <c r="A85" s="172">
        <v>72</v>
      </c>
      <c r="B85" s="173">
        <f t="shared" ref="B85:J85" si="77">B187</f>
        <v>101946</v>
      </c>
      <c r="C85" s="174" t="str">
        <f t="shared" si="77"/>
        <v>SINAPI</v>
      </c>
      <c r="D85" s="175" t="str">
        <f t="shared" si="77"/>
        <v>QUADRO DE MEDIÇÃO GERAL DE ENERGIA PARA 1 MEDIDOR DE SOBREPOR - FORNECIMENTO E INSTALAÇÃO. AF_10/2020</v>
      </c>
      <c r="E85" s="173" t="str">
        <f t="shared" si="77"/>
        <v>und</v>
      </c>
      <c r="F85" s="176">
        <f t="shared" si="77"/>
        <v>1</v>
      </c>
      <c r="G85" s="177">
        <f t="shared" si="77"/>
        <v>191.74</v>
      </c>
      <c r="H85" s="178">
        <f t="shared" si="77"/>
        <v>236.86</v>
      </c>
      <c r="I85" s="179">
        <f t="shared" si="77"/>
        <v>236.86</v>
      </c>
      <c r="J85" s="180">
        <f t="shared" si="77"/>
        <v>1.7454294596540656E-4</v>
      </c>
      <c r="K85" s="181">
        <f t="shared" si="72"/>
        <v>0.99962646365232599</v>
      </c>
      <c r="L85" t="str">
        <f>IF(K85&lt;$H$95,$G$95,IF(K85&lt;$H$96,$G$96,$G$97))</f>
        <v>C</v>
      </c>
    </row>
    <row r="86" spans="1:12" ht="26.4">
      <c r="A86" s="172">
        <v>73</v>
      </c>
      <c r="B86" s="173">
        <f t="shared" ref="B86:J86" si="78">B188</f>
        <v>100575</v>
      </c>
      <c r="C86" s="174" t="str">
        <f t="shared" si="78"/>
        <v>SINAPI</v>
      </c>
      <c r="D86" s="175" t="str">
        <f t="shared" si="78"/>
        <v>REGULARIZAÇÃO DE SUPERFÍCIES COM MOTONIVELADORA. AF_11/2019</v>
      </c>
      <c r="E86" s="173" t="str">
        <f t="shared" si="78"/>
        <v>m²</v>
      </c>
      <c r="F86" s="176">
        <f t="shared" si="78"/>
        <v>1118</v>
      </c>
      <c r="G86" s="177">
        <f t="shared" si="78"/>
        <v>0.15</v>
      </c>
      <c r="H86" s="178">
        <f t="shared" si="78"/>
        <v>0.18</v>
      </c>
      <c r="I86" s="179">
        <f t="shared" si="78"/>
        <v>201.24</v>
      </c>
      <c r="J86" s="180">
        <f t="shared" si="78"/>
        <v>1.4829444585864399E-4</v>
      </c>
      <c r="K86" s="181">
        <f t="shared" si="72"/>
        <v>0.99977475809818461</v>
      </c>
      <c r="L86" t="str">
        <f>IF(K86&lt;$H$95,$G$95,IF(K86&lt;$H$96,$G$96,$G$97))</f>
        <v>C</v>
      </c>
    </row>
    <row r="87" spans="1:12" ht="39.6">
      <c r="A87" s="172">
        <v>74</v>
      </c>
      <c r="B87" s="173">
        <f t="shared" ref="B87:J87" si="79">B189</f>
        <v>92979</v>
      </c>
      <c r="C87" s="174" t="str">
        <f t="shared" si="79"/>
        <v>SINAPI</v>
      </c>
      <c r="D87" s="175" t="str">
        <f t="shared" si="79"/>
        <v>CABO DE COBRE FLEXÍVEL ISOLADO, 10 MM², ANTI-CHAMA 450/750 V, PARA DISTRIBUIÇÃO - FORNECIMENTO E INSTALAÇÃO. AF_12/2015</v>
      </c>
      <c r="E87" s="173" t="str">
        <f t="shared" si="79"/>
        <v>m</v>
      </c>
      <c r="F87" s="176">
        <f t="shared" si="79"/>
        <v>14.8</v>
      </c>
      <c r="G87" s="177">
        <f t="shared" si="79"/>
        <v>9.7200000000000006</v>
      </c>
      <c r="H87" s="178">
        <f t="shared" si="79"/>
        <v>12</v>
      </c>
      <c r="I87" s="179">
        <f t="shared" si="79"/>
        <v>177.6</v>
      </c>
      <c r="J87" s="180">
        <f t="shared" si="79"/>
        <v>1.3087404881979313E-4</v>
      </c>
      <c r="K87" s="181">
        <f t="shared" si="72"/>
        <v>0.99990563214700445</v>
      </c>
      <c r="L87" t="str">
        <f>IF(K87&lt;$H$95,$G$95,IF(K87&lt;$H$96,$G$96,$G$97))</f>
        <v>C</v>
      </c>
    </row>
    <row r="88" spans="1:12" ht="26.4">
      <c r="A88" s="172">
        <v>75</v>
      </c>
      <c r="B88" s="173">
        <f t="shared" ref="B88:J88" si="80">B190</f>
        <v>93653</v>
      </c>
      <c r="C88" s="174" t="str">
        <f t="shared" si="80"/>
        <v>SINAPI</v>
      </c>
      <c r="D88" s="175" t="str">
        <f t="shared" si="80"/>
        <v>DISJUNTOR MONOPOLAR TIPO DIN, CORRENTE NOMINAL DE 10A - FORNECIMENTO E INSTALAÇÃO. AF_10/2020</v>
      </c>
      <c r="E88" s="173" t="str">
        <f t="shared" si="80"/>
        <v>und</v>
      </c>
      <c r="F88" s="176">
        <f t="shared" si="80"/>
        <v>6</v>
      </c>
      <c r="G88" s="177">
        <f t="shared" si="80"/>
        <v>13.39</v>
      </c>
      <c r="H88" s="178">
        <f t="shared" si="80"/>
        <v>16.54</v>
      </c>
      <c r="I88" s="179">
        <f t="shared" si="80"/>
        <v>99.24</v>
      </c>
      <c r="J88" s="180">
        <f t="shared" si="80"/>
        <v>7.313029619862765E-5</v>
      </c>
      <c r="K88" s="181">
        <f t="shared" si="72"/>
        <v>0.99997876244320305</v>
      </c>
      <c r="L88" t="str">
        <f>IF(K88&lt;$H$95,$G$95,IF(K88&lt;$H$96,$G$96,$G$97))</f>
        <v>C</v>
      </c>
    </row>
    <row r="89" spans="1:12" ht="39.6">
      <c r="A89" s="172">
        <v>76</v>
      </c>
      <c r="B89" s="173">
        <f t="shared" ref="B89:J89" si="81">B191</f>
        <v>92760</v>
      </c>
      <c r="C89" s="174" t="str">
        <f t="shared" si="81"/>
        <v>SINAPI</v>
      </c>
      <c r="D89" s="175" t="str">
        <f t="shared" si="81"/>
        <v>ARMAÇÃO DE PILAR OU VIGA DE ESTRUTURA CONVENCIONAL DE CONCRETO ARMADO UTILIZANDO AÇO CA-50 DE 6,3 MM - MONTAGEM. AF_06/2022</v>
      </c>
      <c r="E89" s="173" t="str">
        <f t="shared" si="81"/>
        <v>kg</v>
      </c>
      <c r="F89" s="176">
        <f t="shared" si="81"/>
        <v>1.54</v>
      </c>
      <c r="G89" s="177">
        <f t="shared" si="81"/>
        <v>15.16</v>
      </c>
      <c r="H89" s="178">
        <f t="shared" si="81"/>
        <v>18.72</v>
      </c>
      <c r="I89" s="179">
        <f t="shared" si="81"/>
        <v>28.82</v>
      </c>
      <c r="J89" s="180">
        <f t="shared" si="81"/>
        <v>2.1237556796094809E-5</v>
      </c>
      <c r="K89" s="181">
        <f t="shared" si="72"/>
        <v>0.99999999999999911</v>
      </c>
      <c r="L89" t="str">
        <f>IF(K89&lt;$H$95,$G$95,IF(K89&lt;$H$96,$G$96,$G$97))</f>
        <v>C</v>
      </c>
    </row>
    <row r="90" spans="1:12" ht="13.8">
      <c r="A90" s="330" t="s">
        <v>73</v>
      </c>
      <c r="B90" s="330"/>
      <c r="C90" s="330"/>
      <c r="D90" s="330"/>
      <c r="E90" s="330"/>
      <c r="F90" s="330"/>
      <c r="G90" s="330"/>
      <c r="H90" s="330"/>
      <c r="I90" s="60">
        <f>SUM(I14:I89)</f>
        <v>1357029.9200000002</v>
      </c>
      <c r="J90" s="182"/>
      <c r="K90" s="182"/>
    </row>
    <row r="91" spans="1:12">
      <c r="A91" s="331"/>
      <c r="B91" s="331"/>
      <c r="C91" s="331"/>
      <c r="D91" s="331"/>
      <c r="E91" s="331"/>
      <c r="F91" s="331"/>
      <c r="G91" s="331"/>
      <c r="H91" s="331"/>
      <c r="I91" s="331"/>
      <c r="J91" s="331"/>
      <c r="K91" s="331"/>
    </row>
    <row r="92" spans="1:12">
      <c r="A92" s="61"/>
      <c r="B92" s="61"/>
      <c r="C92" s="61"/>
      <c r="D92" s="62"/>
      <c r="E92" s="61"/>
      <c r="F92" s="61"/>
      <c r="G92" s="61"/>
      <c r="H92" s="61"/>
      <c r="I92" s="61"/>
    </row>
    <row r="93" spans="1:12" ht="12.75" customHeight="1">
      <c r="A93" s="61"/>
      <c r="B93" s="61"/>
      <c r="C93" s="61"/>
      <c r="D93" s="62"/>
      <c r="E93" s="61"/>
      <c r="F93" s="61"/>
      <c r="G93" s="332" t="s">
        <v>307</v>
      </c>
      <c r="H93" s="332"/>
      <c r="I93" s="61"/>
    </row>
    <row r="94" spans="1:12">
      <c r="A94" s="61"/>
      <c r="B94" s="61"/>
      <c r="C94" s="61"/>
      <c r="D94" s="62"/>
      <c r="E94" s="61"/>
      <c r="F94" s="61"/>
      <c r="G94" s="332"/>
      <c r="H94" s="332"/>
      <c r="I94" s="61"/>
    </row>
    <row r="95" spans="1:12">
      <c r="A95" s="61"/>
      <c r="B95" s="61"/>
      <c r="C95" s="61"/>
      <c r="D95" s="62"/>
      <c r="E95" s="61"/>
      <c r="F95" s="61"/>
      <c r="G95" s="184" t="s">
        <v>308</v>
      </c>
      <c r="H95" s="185">
        <v>0.8</v>
      </c>
      <c r="I95" s="186"/>
    </row>
    <row r="96" spans="1:12">
      <c r="A96" s="61"/>
      <c r="B96" s="61"/>
      <c r="C96" s="61"/>
      <c r="D96" s="62"/>
      <c r="E96" s="61"/>
      <c r="F96" s="61"/>
      <c r="G96" s="184" t="s">
        <v>309</v>
      </c>
      <c r="H96" s="185">
        <v>0.95</v>
      </c>
      <c r="I96" s="186"/>
    </row>
    <row r="97" spans="1:9">
      <c r="A97" s="61"/>
      <c r="B97" s="61"/>
      <c r="C97" s="61"/>
      <c r="D97" s="62"/>
      <c r="E97" s="61"/>
      <c r="F97" s="61"/>
      <c r="G97" s="184" t="s">
        <v>310</v>
      </c>
      <c r="H97" s="185">
        <v>1</v>
      </c>
      <c r="I97" s="186"/>
    </row>
    <row r="98" spans="1:9">
      <c r="A98" s="61"/>
      <c r="B98" s="61"/>
      <c r="C98" s="61"/>
      <c r="D98" s="62"/>
      <c r="E98" s="61"/>
      <c r="F98" s="61"/>
      <c r="G98" s="61"/>
      <c r="H98" s="61"/>
      <c r="I98" s="186"/>
    </row>
    <row r="99" spans="1:9">
      <c r="A99" s="61"/>
      <c r="B99" s="61"/>
      <c r="C99" s="61"/>
      <c r="D99" s="62"/>
      <c r="E99" s="61"/>
      <c r="F99" s="61"/>
      <c r="G99" s="61"/>
      <c r="H99" s="61"/>
      <c r="I99" s="186"/>
    </row>
    <row r="100" spans="1:9">
      <c r="A100" s="61"/>
      <c r="B100" s="61"/>
      <c r="C100" s="61"/>
      <c r="D100" s="62"/>
      <c r="E100" s="61"/>
      <c r="F100" s="61"/>
      <c r="G100" s="61"/>
      <c r="H100" s="61"/>
      <c r="I100" s="186"/>
    </row>
    <row r="101" spans="1:9">
      <c r="A101" s="61"/>
      <c r="B101" s="61"/>
      <c r="C101" s="61"/>
      <c r="D101" s="62"/>
      <c r="E101" s="61"/>
      <c r="F101" s="61"/>
      <c r="G101" s="61"/>
      <c r="H101" s="61"/>
      <c r="I101" s="186"/>
    </row>
    <row r="102" spans="1:9">
      <c r="A102" s="61"/>
      <c r="B102" s="61"/>
      <c r="C102" s="61"/>
      <c r="D102" s="62"/>
      <c r="E102" s="61"/>
      <c r="F102" s="61"/>
      <c r="G102" s="61"/>
      <c r="H102" s="61"/>
      <c r="I102" s="186"/>
    </row>
    <row r="103" spans="1:9">
      <c r="A103" s="61"/>
      <c r="B103" s="61"/>
      <c r="C103" s="61"/>
      <c r="D103" s="62"/>
      <c r="E103" s="61"/>
      <c r="F103" s="61"/>
      <c r="G103" s="61"/>
      <c r="H103" s="61"/>
      <c r="I103" s="186"/>
    </row>
    <row r="104" spans="1:9">
      <c r="A104" s="61"/>
      <c r="B104" s="61"/>
      <c r="C104" s="61"/>
      <c r="D104" s="62"/>
      <c r="E104" s="61"/>
      <c r="F104" s="61"/>
      <c r="G104" s="61"/>
      <c r="H104" s="61"/>
      <c r="I104" s="186"/>
    </row>
    <row r="105" spans="1:9">
      <c r="A105" s="61"/>
      <c r="B105" s="61"/>
      <c r="C105" s="61"/>
      <c r="D105" s="62"/>
      <c r="E105" s="61"/>
      <c r="F105" s="61"/>
      <c r="G105" s="61"/>
      <c r="H105" s="61"/>
    </row>
    <row r="106" spans="1:9">
      <c r="A106" s="61"/>
      <c r="B106" s="61"/>
      <c r="C106" s="61"/>
      <c r="D106" s="62"/>
      <c r="E106" s="61"/>
      <c r="F106" s="61"/>
      <c r="G106" s="61"/>
      <c r="H106" s="61"/>
      <c r="I106" s="187"/>
    </row>
    <row r="107" spans="1:9">
      <c r="A107" s="61"/>
      <c r="B107" s="61"/>
      <c r="C107" s="61"/>
      <c r="D107" s="62"/>
      <c r="E107" s="61"/>
      <c r="F107" s="61"/>
      <c r="G107" s="61"/>
      <c r="H107" s="61"/>
      <c r="I107" s="186"/>
    </row>
    <row r="108" spans="1:9">
      <c r="A108" s="61"/>
      <c r="B108" s="61"/>
      <c r="C108" s="61"/>
      <c r="D108" s="62"/>
      <c r="E108" s="61"/>
      <c r="F108" s="61"/>
      <c r="G108" s="61"/>
      <c r="H108" s="61"/>
      <c r="I108" s="186"/>
    </row>
    <row r="109" spans="1:9">
      <c r="A109" s="61"/>
      <c r="B109" s="61"/>
      <c r="C109" s="61"/>
      <c r="D109" s="62"/>
      <c r="E109" s="61"/>
      <c r="F109" s="61"/>
      <c r="G109" s="61"/>
      <c r="H109" s="61"/>
      <c r="I109" s="61"/>
    </row>
    <row r="110" spans="1:9">
      <c r="A110" s="61"/>
      <c r="B110" s="61"/>
      <c r="C110" s="61"/>
      <c r="D110" s="62"/>
      <c r="E110" s="61"/>
      <c r="F110" s="61"/>
      <c r="G110" s="61"/>
      <c r="H110" s="61"/>
      <c r="I110" s="61"/>
    </row>
    <row r="111" spans="1:9">
      <c r="A111" s="61"/>
      <c r="B111" s="61"/>
      <c r="C111" s="61"/>
      <c r="D111" s="62"/>
      <c r="E111" s="61"/>
      <c r="F111" s="61"/>
      <c r="G111" s="61"/>
      <c r="H111" s="61"/>
      <c r="I111" s="61"/>
    </row>
    <row r="112" spans="1:9">
      <c r="A112" s="61"/>
      <c r="B112" s="61"/>
      <c r="C112" s="61"/>
      <c r="D112" s="62"/>
      <c r="E112" s="61"/>
      <c r="F112" s="61"/>
      <c r="G112" s="61"/>
      <c r="H112" s="61"/>
      <c r="I112" s="61"/>
    </row>
    <row r="113" spans="1:10">
      <c r="A113" s="61"/>
      <c r="B113" s="61"/>
      <c r="C113" s="61"/>
      <c r="D113" s="62"/>
      <c r="E113" s="61"/>
      <c r="F113" s="61"/>
      <c r="G113" s="61"/>
      <c r="H113" s="61"/>
      <c r="I113" s="61"/>
    </row>
    <row r="114" spans="1:10">
      <c r="A114" s="61"/>
      <c r="B114" s="61"/>
      <c r="C114" s="61"/>
      <c r="D114" s="62"/>
      <c r="E114" s="61"/>
      <c r="F114" s="61"/>
      <c r="G114" s="61"/>
      <c r="H114" s="61"/>
      <c r="I114" s="61"/>
    </row>
    <row r="115" spans="1:10">
      <c r="A115" s="61" t="s">
        <v>311</v>
      </c>
      <c r="B115" s="61" t="s">
        <v>312</v>
      </c>
      <c r="C115" s="61" t="s">
        <v>313</v>
      </c>
      <c r="D115" s="62" t="s">
        <v>314</v>
      </c>
      <c r="E115" s="61" t="s">
        <v>315</v>
      </c>
      <c r="F115" s="61" t="s">
        <v>316</v>
      </c>
      <c r="G115" s="61" t="s">
        <v>317</v>
      </c>
      <c r="H115" s="61" t="s">
        <v>318</v>
      </c>
      <c r="I115" s="61" t="s">
        <v>319</v>
      </c>
      <c r="J115" s="183" t="s">
        <v>320</v>
      </c>
    </row>
    <row r="116" spans="1:10" ht="39.6">
      <c r="A116" s="189" t="s">
        <v>226</v>
      </c>
      <c r="B116" s="190">
        <v>10966</v>
      </c>
      <c r="C116" s="191" t="s">
        <v>343</v>
      </c>
      <c r="D116" s="192" t="s">
        <v>330</v>
      </c>
      <c r="E116" s="3" t="s">
        <v>16</v>
      </c>
      <c r="F116" s="7">
        <v>14429.52</v>
      </c>
      <c r="G116" s="193">
        <v>11.85</v>
      </c>
      <c r="H116" s="57">
        <v>13.66</v>
      </c>
      <c r="I116" s="58">
        <f>TRUNC(Tabela2[[#This Row],[Coluna8]]*Tabela2[[#This Row],[Coluna6]],2)</f>
        <v>197107.24</v>
      </c>
      <c r="J116" s="124">
        <f>Tabela2[[#This Row],[Coluna9]]/Tabela2[[#Totals],[Coluna9]]</f>
        <v>0.14524900084737996</v>
      </c>
    </row>
    <row r="117" spans="1:10" ht="39.6">
      <c r="A117" s="189" t="s">
        <v>173</v>
      </c>
      <c r="B117" s="6">
        <v>4777</v>
      </c>
      <c r="C117" s="1" t="s">
        <v>343</v>
      </c>
      <c r="D117" s="141" t="s">
        <v>329</v>
      </c>
      <c r="E117" s="1" t="s">
        <v>16</v>
      </c>
      <c r="F117" s="7">
        <v>13172.91</v>
      </c>
      <c r="G117" s="70">
        <v>10.42</v>
      </c>
      <c r="H117" s="57">
        <v>12.01</v>
      </c>
      <c r="I117" s="58">
        <f>TRUNC(Tabela2[[#This Row],[Coluna8]]*Tabela2[[#This Row],[Coluna6]],2)</f>
        <v>158206.64000000001</v>
      </c>
      <c r="J117" s="124">
        <f>Tabela2[[#This Row],[Coluna9]]/Tabela2[[#Totals],[Coluna9]]</f>
        <v>0.11658301535459144</v>
      </c>
    </row>
    <row r="118" spans="1:10" ht="39.6">
      <c r="A118" s="189" t="s">
        <v>228</v>
      </c>
      <c r="B118" s="190">
        <v>94213</v>
      </c>
      <c r="C118" s="191" t="s">
        <v>13</v>
      </c>
      <c r="D118" s="192" t="s">
        <v>223</v>
      </c>
      <c r="E118" s="3" t="s">
        <v>2</v>
      </c>
      <c r="F118" s="7">
        <v>1644.59</v>
      </c>
      <c r="G118" s="193">
        <v>73.08</v>
      </c>
      <c r="H118" s="57">
        <v>90.27</v>
      </c>
      <c r="I118" s="58">
        <f>TRUNC(Tabela2[[#This Row],[Coluna8]]*Tabela2[[#This Row],[Coluna6]],2)</f>
        <v>148457.13</v>
      </c>
      <c r="J118" s="124">
        <f>Tabela2[[#This Row],[Coluna9]]/Tabela2[[#Totals],[Coluna9]]</f>
        <v>0.10939856801388725</v>
      </c>
    </row>
    <row r="119" spans="1:10" ht="26.4">
      <c r="A119" s="3" t="s">
        <v>170</v>
      </c>
      <c r="B119" s="3" t="s">
        <v>333</v>
      </c>
      <c r="C119" s="6" t="s">
        <v>351</v>
      </c>
      <c r="D119" s="4" t="s">
        <v>345</v>
      </c>
      <c r="E119" s="3" t="s">
        <v>16</v>
      </c>
      <c r="F119" s="188">
        <v>25492.71</v>
      </c>
      <c r="G119" s="70">
        <v>4.26</v>
      </c>
      <c r="H119" s="57">
        <v>5.26</v>
      </c>
      <c r="I119" s="58">
        <f>TRUNC(Tabela2[[#This Row],[Coluna8]]*Tabela2[[#This Row],[Coluna6]],2)</f>
        <v>134091.65</v>
      </c>
      <c r="J119" s="124">
        <f>Tabela2[[#This Row],[Coluna9]]/Tabela2[[#Totals],[Coluna9]]</f>
        <v>9.8812596556456161E-2</v>
      </c>
    </row>
    <row r="120" spans="1:10" ht="39.6">
      <c r="A120" s="189" t="s">
        <v>8</v>
      </c>
      <c r="B120" s="190">
        <v>101166</v>
      </c>
      <c r="C120" s="191" t="s">
        <v>13</v>
      </c>
      <c r="D120" s="192" t="s">
        <v>348</v>
      </c>
      <c r="E120" s="3" t="s">
        <v>10</v>
      </c>
      <c r="F120" s="7">
        <v>136.12</v>
      </c>
      <c r="G120" s="193">
        <v>565.21</v>
      </c>
      <c r="H120" s="57">
        <v>698.23</v>
      </c>
      <c r="I120" s="58">
        <f>TRUNC(Tabela2[[#This Row],[Coluna8]]*Tabela2[[#This Row],[Coluna6]],2)</f>
        <v>95043.06</v>
      </c>
      <c r="J120" s="124">
        <f>Tabela2[[#This Row],[Coluna9]]/Tabela2[[#Totals],[Coluna9]]</f>
        <v>7.0037556725352071E-2</v>
      </c>
    </row>
    <row r="121" spans="1:10" ht="39.6">
      <c r="A121" s="189" t="s">
        <v>160</v>
      </c>
      <c r="B121" s="6">
        <v>97096</v>
      </c>
      <c r="C121" s="1" t="s">
        <v>13</v>
      </c>
      <c r="D121" s="141" t="s">
        <v>109</v>
      </c>
      <c r="E121" s="1" t="s">
        <v>10</v>
      </c>
      <c r="F121" s="7">
        <v>87.79</v>
      </c>
      <c r="G121" s="70">
        <v>567.36</v>
      </c>
      <c r="H121" s="57">
        <v>700.89</v>
      </c>
      <c r="I121" s="58">
        <f>TRUNC(Tabela2[[#This Row],[Coluna8]]*Tabela2[[#This Row],[Coluna6]],2)</f>
        <v>61531.13</v>
      </c>
      <c r="J121" s="124">
        <f>Tabela2[[#This Row],[Coluna9]]/Tabela2[[#Totals],[Coluna9]]</f>
        <v>4.5342500628136474E-2</v>
      </c>
    </row>
    <row r="122" spans="1:10" ht="39.6">
      <c r="A122" s="189" t="s">
        <v>137</v>
      </c>
      <c r="B122" s="6">
        <v>96556</v>
      </c>
      <c r="C122" s="1" t="s">
        <v>13</v>
      </c>
      <c r="D122" s="141" t="s">
        <v>98</v>
      </c>
      <c r="E122" s="1" t="s">
        <v>10</v>
      </c>
      <c r="F122" s="7">
        <v>46.38</v>
      </c>
      <c r="G122" s="70">
        <v>788.91</v>
      </c>
      <c r="H122" s="57">
        <v>974.58</v>
      </c>
      <c r="I122" s="58">
        <f>TRUNC(Tabela2[[#This Row],[Coluna8]]*Tabela2[[#This Row],[Coluna6]],2)</f>
        <v>45201.02</v>
      </c>
      <c r="J122" s="124">
        <f>Tabela2[[#This Row],[Coluna9]]/Tabela2[[#Totals],[Coluna9]]</f>
        <v>3.3308786588876385E-2</v>
      </c>
    </row>
    <row r="123" spans="1:10" ht="26.4">
      <c r="A123" s="189" t="s">
        <v>167</v>
      </c>
      <c r="B123" s="190">
        <v>97097</v>
      </c>
      <c r="C123" s="191" t="s">
        <v>13</v>
      </c>
      <c r="D123" s="192" t="s">
        <v>157</v>
      </c>
      <c r="E123" s="3" t="s">
        <v>2</v>
      </c>
      <c r="F123" s="7">
        <v>760</v>
      </c>
      <c r="G123" s="193">
        <v>40.83</v>
      </c>
      <c r="H123" s="57">
        <v>50.43</v>
      </c>
      <c r="I123" s="58">
        <f>TRUNC(Tabela2[[#This Row],[Coluna8]]*Tabela2[[#This Row],[Coluna6]],2)</f>
        <v>38326.800000000003</v>
      </c>
      <c r="J123" s="124">
        <f>Tabela2[[#This Row],[Coluna9]]/Tabela2[[#Totals],[Coluna9]]</f>
        <v>2.8243150305779549E-2</v>
      </c>
    </row>
    <row r="124" spans="1:10" ht="39.6">
      <c r="A124" s="189" t="s">
        <v>178</v>
      </c>
      <c r="B124" s="6">
        <v>102364</v>
      </c>
      <c r="C124" s="208" t="s">
        <v>13</v>
      </c>
      <c r="D124" s="2" t="s">
        <v>165</v>
      </c>
      <c r="E124" s="1" t="s">
        <v>2</v>
      </c>
      <c r="F124" s="7">
        <v>138.24</v>
      </c>
      <c r="G124" s="70">
        <v>206.91</v>
      </c>
      <c r="H124" s="57">
        <v>255.6</v>
      </c>
      <c r="I124" s="58">
        <f>TRUNC(Tabela2[[#This Row],[Coluna8]]*Tabela2[[#This Row],[Coluna6]],2)</f>
        <v>35334.14</v>
      </c>
      <c r="J124" s="124">
        <f>Tabela2[[#This Row],[Coluna9]]/Tabela2[[#Totals],[Coluna9]]</f>
        <v>2.6037848892823231E-2</v>
      </c>
    </row>
    <row r="125" spans="1:10" ht="39.6">
      <c r="A125" s="189" t="s">
        <v>169</v>
      </c>
      <c r="B125" s="194">
        <v>98577</v>
      </c>
      <c r="C125" s="195" t="s">
        <v>13</v>
      </c>
      <c r="D125" s="196" t="s">
        <v>162</v>
      </c>
      <c r="E125" s="197" t="s">
        <v>1</v>
      </c>
      <c r="F125" s="7">
        <v>608</v>
      </c>
      <c r="G125" s="198">
        <v>46.16</v>
      </c>
      <c r="H125" s="199">
        <v>57.02</v>
      </c>
      <c r="I125" s="58">
        <f>TRUNC(Tabela2[[#This Row],[Coluna8]]*Tabela2[[#This Row],[Coluna6]],2)</f>
        <v>34668.160000000003</v>
      </c>
      <c r="J125" s="124">
        <f>Tabela2[[#This Row],[Coluna9]]/Tabela2[[#Totals],[Coluna9]]</f>
        <v>2.5547085947817568E-2</v>
      </c>
    </row>
    <row r="126" spans="1:10" ht="26.4">
      <c r="A126" s="189" t="s">
        <v>142</v>
      </c>
      <c r="B126" s="6">
        <v>92269</v>
      </c>
      <c r="C126" s="1" t="s">
        <v>13</v>
      </c>
      <c r="D126" s="141" t="s">
        <v>138</v>
      </c>
      <c r="E126" s="1" t="s">
        <v>2</v>
      </c>
      <c r="F126" s="7">
        <v>165.76</v>
      </c>
      <c r="G126" s="70">
        <v>160.97999999999999</v>
      </c>
      <c r="H126" s="57">
        <v>198.86</v>
      </c>
      <c r="I126" s="58">
        <f>TRUNC(Tabela2[[#This Row],[Coluna8]]*Tabela2[[#This Row],[Coluna6]],2)</f>
        <v>32963.03</v>
      </c>
      <c r="J126" s="213">
        <f>Tabela2[[#This Row],[Coluna9]]/Tabela2[[#Totals],[Coluna9]]</f>
        <v>2.4290569805564783E-2</v>
      </c>
    </row>
    <row r="127" spans="1:10" ht="26.4">
      <c r="A127" s="189" t="s">
        <v>126</v>
      </c>
      <c r="B127" s="190">
        <v>96535</v>
      </c>
      <c r="C127" s="191" t="s">
        <v>13</v>
      </c>
      <c r="D127" s="192" t="s">
        <v>129</v>
      </c>
      <c r="E127" s="3" t="s">
        <v>2</v>
      </c>
      <c r="F127" s="7">
        <v>144.63999999999999</v>
      </c>
      <c r="G127" s="193">
        <v>159.99</v>
      </c>
      <c r="H127" s="57">
        <v>197.64</v>
      </c>
      <c r="I127" s="58">
        <f>TRUNC(Tabela2[[#This Row],[Coluna8]]*Tabela2[[#This Row],[Coluna6]],2)</f>
        <v>28586.639999999999</v>
      </c>
      <c r="J127" s="124">
        <f>Tabela2[[#This Row],[Coluna9]]/Tabela2[[#Totals],[Coluna9]]</f>
        <v>2.1065593012127543E-2</v>
      </c>
    </row>
    <row r="128" spans="1:10" ht="26.4">
      <c r="A128" s="189" t="s">
        <v>147</v>
      </c>
      <c r="B128" s="190">
        <v>92270</v>
      </c>
      <c r="C128" s="191" t="s">
        <v>13</v>
      </c>
      <c r="D128" s="192" t="s">
        <v>152</v>
      </c>
      <c r="E128" s="3" t="s">
        <v>2</v>
      </c>
      <c r="F128" s="7">
        <v>116.19</v>
      </c>
      <c r="G128" s="193">
        <v>194.42</v>
      </c>
      <c r="H128" s="57">
        <v>240.17</v>
      </c>
      <c r="I128" s="58">
        <f>TRUNC(Tabela2[[#This Row],[Coluna8]]*Tabela2[[#This Row],[Coluna6]],2)</f>
        <v>27905.35</v>
      </c>
      <c r="J128" s="124">
        <f>Tabela2[[#This Row],[Coluna9]]/Tabela2[[#Totals],[Coluna9]]</f>
        <v>2.0563548075638594E-2</v>
      </c>
    </row>
    <row r="129" spans="1:10" ht="26.4">
      <c r="A129" s="189" t="s">
        <v>219</v>
      </c>
      <c r="B129" s="6">
        <v>101162</v>
      </c>
      <c r="C129" s="208" t="s">
        <v>13</v>
      </c>
      <c r="D129" s="2" t="s">
        <v>220</v>
      </c>
      <c r="E129" s="1" t="s">
        <v>10</v>
      </c>
      <c r="F129" s="7">
        <v>162.34</v>
      </c>
      <c r="G129" s="70">
        <v>131.47</v>
      </c>
      <c r="H129" s="57">
        <v>162.41</v>
      </c>
      <c r="I129" s="58">
        <f>TRUNC(Tabela2[[#This Row],[Coluna8]]*Tabela2[[#This Row],[Coluna6]],2)</f>
        <v>26365.63</v>
      </c>
      <c r="J129" s="124">
        <f>Tabela2[[#This Row],[Coluna9]]/Tabela2[[#Totals],[Coluna9]]</f>
        <v>1.9428923129417807E-2</v>
      </c>
    </row>
    <row r="130" spans="1:10" ht="26.4">
      <c r="A130" s="189" t="s">
        <v>132</v>
      </c>
      <c r="B130" s="190">
        <v>96546</v>
      </c>
      <c r="C130" s="191" t="s">
        <v>13</v>
      </c>
      <c r="D130" s="192" t="s">
        <v>131</v>
      </c>
      <c r="E130" s="3" t="s">
        <v>16</v>
      </c>
      <c r="F130" s="7">
        <v>1199.27</v>
      </c>
      <c r="G130" s="193">
        <v>14.86</v>
      </c>
      <c r="H130" s="57">
        <v>18.350000000000001</v>
      </c>
      <c r="I130" s="58">
        <f>TRUNC(Tabela2[[#This Row],[Coluna8]]*Tabela2[[#This Row],[Coluna6]],2)</f>
        <v>22006.6</v>
      </c>
      <c r="J130" s="124">
        <f>Tabela2[[#This Row],[Coluna9]]/Tabela2[[#Totals],[Coluna9]]</f>
        <v>1.6216738979491326E-2</v>
      </c>
    </row>
    <row r="131" spans="1:10" ht="39.6">
      <c r="A131" s="3" t="s">
        <v>133</v>
      </c>
      <c r="B131" s="200">
        <v>96547</v>
      </c>
      <c r="C131" s="191" t="s">
        <v>13</v>
      </c>
      <c r="D131" s="201" t="s">
        <v>261</v>
      </c>
      <c r="E131" s="6" t="s">
        <v>16</v>
      </c>
      <c r="F131" s="188">
        <v>1277.81</v>
      </c>
      <c r="G131" s="70">
        <v>12.51</v>
      </c>
      <c r="H131" s="57">
        <v>15.45</v>
      </c>
      <c r="I131" s="58">
        <f>TRUNC(Tabela2[[#This Row],[Coluna8]]*Tabela2[[#This Row],[Coluna6]],2)</f>
        <v>19742.16</v>
      </c>
      <c r="J131" s="124">
        <f>Tabela2[[#This Row],[Coluna9]]/Tabela2[[#Totals],[Coluna9]]</f>
        <v>1.4548065380901844E-2</v>
      </c>
    </row>
    <row r="132" spans="1:10" ht="26.4">
      <c r="A132" s="189" t="s">
        <v>17</v>
      </c>
      <c r="B132" s="190">
        <v>87530</v>
      </c>
      <c r="C132" s="191" t="s">
        <v>13</v>
      </c>
      <c r="D132" s="192" t="s">
        <v>156</v>
      </c>
      <c r="E132" s="3" t="s">
        <v>2</v>
      </c>
      <c r="F132" s="188">
        <v>290.96000000000004</v>
      </c>
      <c r="G132" s="193">
        <v>44.93</v>
      </c>
      <c r="H132" s="57">
        <v>55.5</v>
      </c>
      <c r="I132" s="58">
        <f>TRUNC(Tabela2[[#This Row],[Coluna8]]*Tabela2[[#This Row],[Coluna6]],2)</f>
        <v>16148.28</v>
      </c>
      <c r="J132" s="124">
        <f>Tabela2[[#This Row],[Coluna9]]/Tabela2[[#Totals],[Coluna9]]</f>
        <v>1.1899722888939692E-2</v>
      </c>
    </row>
    <row r="133" spans="1:10" ht="26.4">
      <c r="A133" s="3" t="s">
        <v>149</v>
      </c>
      <c r="B133" s="190">
        <v>101964</v>
      </c>
      <c r="C133" s="191" t="s">
        <v>13</v>
      </c>
      <c r="D133" s="192" t="s">
        <v>148</v>
      </c>
      <c r="E133" s="3" t="s">
        <v>2</v>
      </c>
      <c r="F133" s="188">
        <v>63.260000000000005</v>
      </c>
      <c r="G133" s="70">
        <v>190.93</v>
      </c>
      <c r="H133" s="57">
        <v>235.86</v>
      </c>
      <c r="I133" s="58">
        <f>TRUNC(Tabela2[[#This Row],[Coluna8]]*Tabela2[[#This Row],[Coluna6]],2)</f>
        <v>14920.5</v>
      </c>
      <c r="J133" s="124">
        <f>Tabela2[[#This Row],[Coluna9]]/Tabela2[[#Totals],[Coluna9]]</f>
        <v>1.0994967598061506E-2</v>
      </c>
    </row>
    <row r="134" spans="1:10" ht="39.6">
      <c r="A134" s="189" t="s">
        <v>265</v>
      </c>
      <c r="B134" s="190">
        <v>103669</v>
      </c>
      <c r="C134" s="191" t="s">
        <v>13</v>
      </c>
      <c r="D134" s="192" t="s">
        <v>146</v>
      </c>
      <c r="E134" s="3" t="s">
        <v>10</v>
      </c>
      <c r="F134" s="7">
        <v>13.09</v>
      </c>
      <c r="G134" s="193">
        <v>875.13</v>
      </c>
      <c r="H134" s="57">
        <v>1081.0899999999999</v>
      </c>
      <c r="I134" s="58">
        <f>TRUNC(Tabela2[[#This Row],[Coluna8]]*Tabela2[[#This Row],[Coluna6]],2)</f>
        <v>14151.46</v>
      </c>
      <c r="J134" s="124">
        <f>Tabela2[[#This Row],[Coluna9]]/Tabela2[[#Totals],[Coluna9]]</f>
        <v>1.0428259385762105E-2</v>
      </c>
    </row>
    <row r="135" spans="1:10" ht="39.6">
      <c r="A135" s="189" t="s">
        <v>94</v>
      </c>
      <c r="B135" s="6">
        <v>96523</v>
      </c>
      <c r="C135" s="208" t="s">
        <v>13</v>
      </c>
      <c r="D135" s="2" t="s">
        <v>122</v>
      </c>
      <c r="E135" s="1" t="s">
        <v>10</v>
      </c>
      <c r="F135" s="7">
        <v>115.75</v>
      </c>
      <c r="G135" s="70">
        <v>96.48</v>
      </c>
      <c r="H135" s="57">
        <v>119.18</v>
      </c>
      <c r="I135" s="58">
        <f>TRUNC(Tabela2[[#This Row],[Coluna8]]*Tabela2[[#This Row],[Coluna6]],2)</f>
        <v>13795.08</v>
      </c>
      <c r="J135" s="124">
        <f>Tabela2[[#This Row],[Coluna9]]/Tabela2[[#Totals],[Coluna9]]</f>
        <v>1.0165641742077432E-2</v>
      </c>
    </row>
    <row r="136" spans="1:10" ht="39.6">
      <c r="A136" s="3" t="s">
        <v>11</v>
      </c>
      <c r="B136" s="190">
        <v>99059</v>
      </c>
      <c r="C136" s="191" t="s">
        <v>13</v>
      </c>
      <c r="D136" s="192" t="s">
        <v>192</v>
      </c>
      <c r="E136" s="3" t="s">
        <v>1</v>
      </c>
      <c r="F136" s="188">
        <v>160</v>
      </c>
      <c r="G136" s="70">
        <v>61.14</v>
      </c>
      <c r="H136" s="57">
        <v>75.52</v>
      </c>
      <c r="I136" s="58">
        <f>TRUNC(Tabela2[[#This Row],[Coluna8]]*Tabela2[[#This Row],[Coluna6]],2)</f>
        <v>12083.2</v>
      </c>
      <c r="J136" s="124">
        <f>Tabela2[[#This Row],[Coluna9]]/Tabela2[[#Totals],[Coluna9]]</f>
        <v>8.9041515016853867E-3</v>
      </c>
    </row>
    <row r="137" spans="1:10" ht="39.6">
      <c r="A137" s="189" t="s">
        <v>161</v>
      </c>
      <c r="B137" s="6">
        <v>97088</v>
      </c>
      <c r="C137" s="1" t="s">
        <v>13</v>
      </c>
      <c r="D137" s="141" t="s">
        <v>203</v>
      </c>
      <c r="E137" s="1" t="s">
        <v>16</v>
      </c>
      <c r="F137" s="7">
        <v>608</v>
      </c>
      <c r="G137" s="70">
        <v>15.84</v>
      </c>
      <c r="H137" s="57">
        <v>19.559999999999999</v>
      </c>
      <c r="I137" s="58">
        <f>TRUNC(Tabela2[[#This Row],[Coluna8]]*Tabela2[[#This Row],[Coluna6]],2)</f>
        <v>11892.48</v>
      </c>
      <c r="J137" s="124">
        <f>Tabela2[[#This Row],[Coluna9]]/Tabela2[[#Totals],[Coluna9]]</f>
        <v>8.7636092798897159E-3</v>
      </c>
    </row>
    <row r="138" spans="1:10" ht="39.6">
      <c r="A138" s="189" t="s">
        <v>202</v>
      </c>
      <c r="B138" s="190">
        <v>94273</v>
      </c>
      <c r="C138" s="191" t="s">
        <v>13</v>
      </c>
      <c r="D138" s="192" t="s">
        <v>183</v>
      </c>
      <c r="E138" s="3" t="s">
        <v>1</v>
      </c>
      <c r="F138" s="7">
        <v>136.80000000000001</v>
      </c>
      <c r="G138" s="193">
        <v>59.55</v>
      </c>
      <c r="H138" s="57">
        <v>73.56</v>
      </c>
      <c r="I138" s="58">
        <f>TRUNC(Tabela2[[#This Row],[Coluna8]]*Tabela2[[#This Row],[Coluna6]],2)</f>
        <v>10063</v>
      </c>
      <c r="J138" s="124">
        <f>Tabela2[[#This Row],[Coluna9]]/Tabela2[[#Totals],[Coluna9]]</f>
        <v>7.4154591963602389E-3</v>
      </c>
    </row>
    <row r="139" spans="1:10" ht="26.4">
      <c r="A139" s="189" t="s">
        <v>174</v>
      </c>
      <c r="B139" s="6">
        <v>96135</v>
      </c>
      <c r="C139" s="1" t="s">
        <v>13</v>
      </c>
      <c r="D139" s="141" t="s">
        <v>163</v>
      </c>
      <c r="E139" s="1" t="s">
        <v>2</v>
      </c>
      <c r="F139" s="7">
        <v>290.96000000000004</v>
      </c>
      <c r="G139" s="70">
        <v>25.06</v>
      </c>
      <c r="H139" s="57">
        <v>30.95</v>
      </c>
      <c r="I139" s="58">
        <f>TRUNC(Tabela2[[#This Row],[Coluna8]]*Tabela2[[#This Row],[Coluna6]],2)</f>
        <v>9005.2099999999991</v>
      </c>
      <c r="J139" s="213">
        <f>Tabela2[[#This Row],[Coluna9]]/Tabela2[[#Totals],[Coluna9]]</f>
        <v>6.635970119214467E-3</v>
      </c>
    </row>
    <row r="140" spans="1:10" ht="39.6">
      <c r="A140" s="189" t="s">
        <v>136</v>
      </c>
      <c r="B140" s="190">
        <v>96543</v>
      </c>
      <c r="C140" s="191" t="s">
        <v>13</v>
      </c>
      <c r="D140" s="192" t="s">
        <v>135</v>
      </c>
      <c r="E140" s="3" t="s">
        <v>16</v>
      </c>
      <c r="F140" s="7">
        <v>376.36</v>
      </c>
      <c r="G140" s="193">
        <v>19.18</v>
      </c>
      <c r="H140" s="57">
        <v>23.69</v>
      </c>
      <c r="I140" s="58">
        <f>TRUNC(Tabela2[[#This Row],[Coluna8]]*Tabela2[[#This Row],[Coluna6]],2)</f>
        <v>8915.9599999999991</v>
      </c>
      <c r="J140" s="124">
        <f>Tabela2[[#This Row],[Coluna9]]/Tabela2[[#Totals],[Coluna9]]</f>
        <v>6.570201488261952E-3</v>
      </c>
    </row>
    <row r="141" spans="1:10" ht="39.6">
      <c r="A141" s="189" t="s">
        <v>229</v>
      </c>
      <c r="B141" s="190">
        <v>94228</v>
      </c>
      <c r="C141" s="191" t="s">
        <v>13</v>
      </c>
      <c r="D141" s="192" t="s">
        <v>224</v>
      </c>
      <c r="E141" s="3" t="s">
        <v>1</v>
      </c>
      <c r="F141" s="7">
        <v>85.4</v>
      </c>
      <c r="G141" s="193">
        <v>76.989999999999995</v>
      </c>
      <c r="H141" s="57">
        <v>95.1</v>
      </c>
      <c r="I141" s="58">
        <f>TRUNC(Tabela2[[#This Row],[Coluna8]]*Tabela2[[#This Row],[Coluna6]],2)</f>
        <v>8121.54</v>
      </c>
      <c r="J141" s="124">
        <f>Tabela2[[#This Row],[Coluna9]]/Tabela2[[#Totals],[Coluna9]]</f>
        <v>5.984790666958912E-3</v>
      </c>
    </row>
    <row r="142" spans="1:10" ht="39.6">
      <c r="A142" s="189" t="s">
        <v>7</v>
      </c>
      <c r="B142" s="6">
        <v>103328</v>
      </c>
      <c r="C142" s="1" t="s">
        <v>13</v>
      </c>
      <c r="D142" s="141" t="s">
        <v>99</v>
      </c>
      <c r="E142" s="1" t="s">
        <v>2</v>
      </c>
      <c r="F142" s="7">
        <v>77.42</v>
      </c>
      <c r="G142" s="70">
        <v>80.98</v>
      </c>
      <c r="H142" s="57">
        <v>100.03</v>
      </c>
      <c r="I142" s="58">
        <f>TRUNC(Tabela2[[#This Row],[Coluna8]]*Tabela2[[#This Row],[Coluna6]],2)</f>
        <v>7744.32</v>
      </c>
      <c r="J142" s="124">
        <f>Tabela2[[#This Row],[Coluna9]]/Tabela2[[#Totals],[Coluna9]]</f>
        <v>5.7068159558338986E-3</v>
      </c>
    </row>
    <row r="143" spans="1:10" ht="39.6">
      <c r="A143" s="189" t="s">
        <v>269</v>
      </c>
      <c r="B143" s="190">
        <v>103682</v>
      </c>
      <c r="C143" s="191" t="s">
        <v>13</v>
      </c>
      <c r="D143" s="192" t="s">
        <v>154</v>
      </c>
      <c r="E143" s="3" t="s">
        <v>10</v>
      </c>
      <c r="F143" s="7">
        <v>6.93</v>
      </c>
      <c r="G143" s="193">
        <v>892.64</v>
      </c>
      <c r="H143" s="57">
        <v>1102.72</v>
      </c>
      <c r="I143" s="58">
        <f>TRUNC(Tabela2[[#This Row],[Coluna8]]*Tabela2[[#This Row],[Coluna6]],2)</f>
        <v>7641.84</v>
      </c>
      <c r="J143" s="124">
        <f>Tabela2[[#This Row],[Coluna9]]/Tabela2[[#Totals],[Coluna9]]</f>
        <v>5.6312980925284232E-3</v>
      </c>
    </row>
    <row r="144" spans="1:10" ht="52.8">
      <c r="A144" s="189" t="s">
        <v>326</v>
      </c>
      <c r="B144" s="6">
        <v>97907</v>
      </c>
      <c r="C144" s="1" t="s">
        <v>13</v>
      </c>
      <c r="D144" s="141" t="s">
        <v>238</v>
      </c>
      <c r="E144" s="1" t="s">
        <v>103</v>
      </c>
      <c r="F144" s="7">
        <v>10</v>
      </c>
      <c r="G144" s="70">
        <v>617.1</v>
      </c>
      <c r="H144" s="57">
        <v>762.33</v>
      </c>
      <c r="I144" s="58">
        <f>TRUNC(Tabela2[[#This Row],[Coluna8]]*Tabela2[[#This Row],[Coluna6]],2)</f>
        <v>7623.3</v>
      </c>
      <c r="J144" s="124">
        <f>Tabela2[[#This Row],[Coluna9]]/Tabela2[[#Totals],[Coluna9]]</f>
        <v>5.6176359029725736E-3</v>
      </c>
    </row>
    <row r="145" spans="1:10" ht="52.8">
      <c r="A145" s="189" t="s">
        <v>168</v>
      </c>
      <c r="B145" s="190" t="s">
        <v>54</v>
      </c>
      <c r="C145" s="191" t="s">
        <v>350</v>
      </c>
      <c r="D145" s="192" t="s">
        <v>280</v>
      </c>
      <c r="E145" s="3" t="s">
        <v>1</v>
      </c>
      <c r="F145" s="7">
        <v>608</v>
      </c>
      <c r="G145" s="193">
        <v>9.7899999999999991</v>
      </c>
      <c r="H145" s="57">
        <v>12.09</v>
      </c>
      <c r="I145" s="58">
        <f>TRUNC(Tabela2[[#This Row],[Coluna8]]*Tabela2[[#This Row],[Coluna6]],2)</f>
        <v>7350.72</v>
      </c>
      <c r="J145" s="124">
        <f>Tabela2[[#This Row],[Coluna9]]/Tabela2[[#Totals],[Coluna9]]</f>
        <v>5.4167707665576008E-3</v>
      </c>
    </row>
    <row r="146" spans="1:10" ht="52.8">
      <c r="A146" s="189" t="s">
        <v>175</v>
      </c>
      <c r="B146" s="6">
        <v>88423</v>
      </c>
      <c r="C146" s="1" t="s">
        <v>13</v>
      </c>
      <c r="D146" s="141" t="s">
        <v>100</v>
      </c>
      <c r="E146" s="1" t="s">
        <v>2</v>
      </c>
      <c r="F146" s="7">
        <v>290.96000000000004</v>
      </c>
      <c r="G146" s="70">
        <v>19.78</v>
      </c>
      <c r="H146" s="57">
        <v>24.43</v>
      </c>
      <c r="I146" s="58">
        <f>TRUNC(Tabela2[[#This Row],[Coluna8]]*Tabela2[[#This Row],[Coluna6]],2)</f>
        <v>7108.15</v>
      </c>
      <c r="J146" s="124">
        <f>Tabela2[[#This Row],[Coluna9]]/Tabela2[[#Totals],[Coluna9]]</f>
        <v>5.2380201020180888E-3</v>
      </c>
    </row>
    <row r="147" spans="1:10" ht="52.8">
      <c r="A147" s="189" t="s">
        <v>182</v>
      </c>
      <c r="B147" s="6" t="s">
        <v>290</v>
      </c>
      <c r="C147" s="1" t="s">
        <v>355</v>
      </c>
      <c r="D147" s="141" t="s">
        <v>360</v>
      </c>
      <c r="E147" s="1" t="s">
        <v>103</v>
      </c>
      <c r="F147" s="7">
        <v>24</v>
      </c>
      <c r="G147" s="70">
        <v>227.46</v>
      </c>
      <c r="H147" s="57">
        <v>280.99</v>
      </c>
      <c r="I147" s="58">
        <f>TRUNC(Tabela2[[#This Row],[Coluna8]]*Tabela2[[#This Row],[Coluna6]],2)</f>
        <v>6743.76</v>
      </c>
      <c r="J147" s="124">
        <f>Tabela2[[#This Row],[Coluna9]]/Tabela2[[#Totals],[Coluna9]]</f>
        <v>4.9694998618748211E-3</v>
      </c>
    </row>
    <row r="148" spans="1:10" ht="39.6">
      <c r="A148" s="189" t="s">
        <v>144</v>
      </c>
      <c r="B148" s="6">
        <v>92763</v>
      </c>
      <c r="C148" s="1" t="s">
        <v>13</v>
      </c>
      <c r="D148" s="2" t="s">
        <v>264</v>
      </c>
      <c r="E148" s="1" t="s">
        <v>16</v>
      </c>
      <c r="F148" s="7">
        <v>433.81</v>
      </c>
      <c r="G148" s="70">
        <v>11.02</v>
      </c>
      <c r="H148" s="57">
        <v>13.61</v>
      </c>
      <c r="I148" s="58">
        <f>TRUNC(Tabela2[[#This Row],[Coluna8]]*Tabela2[[#This Row],[Coluna6]],2)</f>
        <v>5904.15</v>
      </c>
      <c r="J148" s="124">
        <f>Tabela2[[#This Row],[Coluna9]]/Tabela2[[#Totals],[Coluna9]]</f>
        <v>4.3507883746586803E-3</v>
      </c>
    </row>
    <row r="149" spans="1:10" ht="52.8">
      <c r="A149" s="189" t="s">
        <v>180</v>
      </c>
      <c r="B149" s="6" t="s">
        <v>288</v>
      </c>
      <c r="C149" s="1" t="s">
        <v>353</v>
      </c>
      <c r="D149" s="141" t="s">
        <v>292</v>
      </c>
      <c r="E149" s="1" t="s">
        <v>102</v>
      </c>
      <c r="F149" s="7">
        <v>1</v>
      </c>
      <c r="G149" s="70">
        <v>4297.8</v>
      </c>
      <c r="H149" s="57">
        <v>5309.3</v>
      </c>
      <c r="I149" s="58">
        <f>TRUNC(Tabela2[[#This Row],[Coluna8]]*Tabela2[[#This Row],[Coluna6]],2)</f>
        <v>5309.3</v>
      </c>
      <c r="J149" s="124">
        <f>Tabela2[[#This Row],[Coluna9]]/Tabela2[[#Totals],[Coluna9]]</f>
        <v>3.9124413704894577E-3</v>
      </c>
    </row>
    <row r="150" spans="1:10" ht="66">
      <c r="A150" s="189" t="s">
        <v>230</v>
      </c>
      <c r="B150" s="190" t="s">
        <v>286</v>
      </c>
      <c r="C150" s="191" t="s">
        <v>352</v>
      </c>
      <c r="D150" s="192" t="s">
        <v>362</v>
      </c>
      <c r="E150" s="3" t="s">
        <v>1</v>
      </c>
      <c r="F150" s="7">
        <v>42.7</v>
      </c>
      <c r="G150" s="193">
        <v>99.12</v>
      </c>
      <c r="H150" s="57">
        <v>122.44</v>
      </c>
      <c r="I150" s="58">
        <f>TRUNC(Tabela2[[#This Row],[Coluna8]]*Tabela2[[#This Row],[Coluna6]],2)</f>
        <v>5228.18</v>
      </c>
      <c r="J150" s="124">
        <f>Tabela2[[#This Row],[Coluna9]]/Tabela2[[#Totals],[Coluna9]]</f>
        <v>3.8526637644069038E-3</v>
      </c>
    </row>
    <row r="151" spans="1:10" ht="39.6">
      <c r="A151" s="189" t="s">
        <v>263</v>
      </c>
      <c r="B151" s="190">
        <v>92759</v>
      </c>
      <c r="C151" s="191" t="s">
        <v>13</v>
      </c>
      <c r="D151" s="192" t="s">
        <v>141</v>
      </c>
      <c r="E151" s="3" t="s">
        <v>16</v>
      </c>
      <c r="F151" s="7">
        <v>258.08999999999997</v>
      </c>
      <c r="G151" s="193">
        <v>15.71</v>
      </c>
      <c r="H151" s="57">
        <v>19.399999999999999</v>
      </c>
      <c r="I151" s="58">
        <f>TRUNC(Tabela2[[#This Row],[Coluna8]]*Tabela2[[#This Row],[Coluna6]],2)</f>
        <v>5006.9399999999996</v>
      </c>
      <c r="J151" s="124">
        <f>Tabela2[[#This Row],[Coluna9]]/Tabela2[[#Totals],[Coluna9]]</f>
        <v>3.6896312499874718E-3</v>
      </c>
    </row>
    <row r="152" spans="1:10" ht="26.4">
      <c r="A152" s="189" t="s">
        <v>322</v>
      </c>
      <c r="B152" s="6">
        <v>89580</v>
      </c>
      <c r="C152" s="1" t="s">
        <v>13</v>
      </c>
      <c r="D152" s="141" t="s">
        <v>239</v>
      </c>
      <c r="E152" s="1" t="s">
        <v>1</v>
      </c>
      <c r="F152" s="7">
        <v>50</v>
      </c>
      <c r="G152" s="70">
        <v>74.319999999999993</v>
      </c>
      <c r="H152" s="57">
        <v>91.81</v>
      </c>
      <c r="I152" s="58">
        <f>TRUNC(Tabela2[[#This Row],[Coluna8]]*Tabela2[[#This Row],[Coluna6]],2)</f>
        <v>4590.5</v>
      </c>
      <c r="J152" s="124">
        <f>Tabela2[[#This Row],[Coluna9]]/Tabela2[[#Totals],[Coluna9]]</f>
        <v>3.3827551864147546E-3</v>
      </c>
    </row>
    <row r="153" spans="1:10" ht="26.4">
      <c r="A153" s="189" t="s">
        <v>260</v>
      </c>
      <c r="B153" s="6">
        <v>98557</v>
      </c>
      <c r="C153" s="1" t="s">
        <v>13</v>
      </c>
      <c r="D153" s="141" t="s">
        <v>139</v>
      </c>
      <c r="E153" s="1" t="s">
        <v>2</v>
      </c>
      <c r="F153" s="7">
        <v>82.8</v>
      </c>
      <c r="G153" s="70">
        <v>43.31</v>
      </c>
      <c r="H153" s="57">
        <v>53.5</v>
      </c>
      <c r="I153" s="58">
        <f>TRUNC(Tabela2[[#This Row],[Coluna8]]*Tabela2[[#This Row],[Coluna6]],2)</f>
        <v>4429.8</v>
      </c>
      <c r="J153" s="213">
        <f>Tabela2[[#This Row],[Coluna9]]/Tabela2[[#Totals],[Coluna9]]</f>
        <v>3.264334805528827E-3</v>
      </c>
    </row>
    <row r="154" spans="1:10" ht="26.4">
      <c r="A154" s="189" t="s">
        <v>177</v>
      </c>
      <c r="B154" s="6">
        <v>100753</v>
      </c>
      <c r="C154" s="1" t="s">
        <v>13</v>
      </c>
      <c r="D154" s="141" t="s">
        <v>164</v>
      </c>
      <c r="E154" s="1" t="s">
        <v>2</v>
      </c>
      <c r="F154" s="7">
        <v>138.24</v>
      </c>
      <c r="G154" s="70">
        <v>21.67</v>
      </c>
      <c r="H154" s="57">
        <v>26.77</v>
      </c>
      <c r="I154" s="58">
        <f>TRUNC(Tabela2[[#This Row],[Coluna8]]*Tabela2[[#This Row],[Coluna6]],2)</f>
        <v>3700.68</v>
      </c>
      <c r="J154" s="124">
        <f>Tabela2[[#This Row],[Coluna9]]/Tabela2[[#Totals],[Coluna9]]</f>
        <v>2.7270437780767573E-3</v>
      </c>
    </row>
    <row r="155" spans="1:10" ht="26.4">
      <c r="A155" s="189" t="s">
        <v>96</v>
      </c>
      <c r="B155" s="190">
        <v>96385</v>
      </c>
      <c r="C155" s="191" t="s">
        <v>13</v>
      </c>
      <c r="D155" s="192" t="s">
        <v>123</v>
      </c>
      <c r="E155" s="3" t="s">
        <v>10</v>
      </c>
      <c r="F155" s="7">
        <v>227.04</v>
      </c>
      <c r="G155" s="193">
        <v>12.39</v>
      </c>
      <c r="H155" s="57">
        <v>15.3</v>
      </c>
      <c r="I155" s="58">
        <f>TRUNC(Tabela2[[#This Row],[Coluna8]]*Tabela2[[#This Row],[Coluna6]],2)</f>
        <v>3473.71</v>
      </c>
      <c r="J155" s="124">
        <f>Tabela2[[#This Row],[Coluna9]]/Tabela2[[#Totals],[Coluna9]]</f>
        <v>2.5597888070146603E-3</v>
      </c>
    </row>
    <row r="156" spans="1:10" ht="66">
      <c r="A156" s="189" t="s">
        <v>143</v>
      </c>
      <c r="B156" s="190">
        <v>92762</v>
      </c>
      <c r="C156" s="191" t="s">
        <v>13</v>
      </c>
      <c r="D156" s="192" t="s">
        <v>140</v>
      </c>
      <c r="E156" s="3" t="s">
        <v>16</v>
      </c>
      <c r="F156" s="7">
        <v>213.36</v>
      </c>
      <c r="G156" s="193">
        <v>13.06</v>
      </c>
      <c r="H156" s="57">
        <v>16.13</v>
      </c>
      <c r="I156" s="58">
        <f>TRUNC(Tabela2[[#This Row],[Coluna8]]*Tabela2[[#This Row],[Coluna6]],2)</f>
        <v>3441.49</v>
      </c>
      <c r="J156" s="124">
        <f>Tabela2[[#This Row],[Coluna9]]/Tabela2[[#Totals],[Coluna9]]</f>
        <v>2.536045778563231E-3</v>
      </c>
    </row>
    <row r="157" spans="1:10" ht="39.6">
      <c r="A157" s="5" t="s">
        <v>151</v>
      </c>
      <c r="B157" s="6">
        <v>92761</v>
      </c>
      <c r="C157" s="208" t="s">
        <v>13</v>
      </c>
      <c r="D157" s="2" t="s">
        <v>153</v>
      </c>
      <c r="E157" s="1" t="s">
        <v>16</v>
      </c>
      <c r="F157" s="7">
        <v>183.72</v>
      </c>
      <c r="G157" s="70">
        <v>14.46</v>
      </c>
      <c r="H157" s="57">
        <v>17.86</v>
      </c>
      <c r="I157" s="58">
        <f>TRUNC(Tabela2[[#This Row],[Coluna8]]*Tabela2[[#This Row],[Coluna6]],2)</f>
        <v>3281.23</v>
      </c>
      <c r="J157" s="124">
        <f>Tabela2[[#This Row],[Coluna9]]/Tabela2[[#Totals],[Coluna9]]</f>
        <v>2.417949635185641E-3</v>
      </c>
    </row>
    <row r="158" spans="1:10" ht="26.4">
      <c r="A158" s="5" t="s">
        <v>181</v>
      </c>
      <c r="B158" s="6" t="s">
        <v>289</v>
      </c>
      <c r="C158" s="1" t="s">
        <v>354</v>
      </c>
      <c r="D158" s="141" t="s">
        <v>291</v>
      </c>
      <c r="E158" s="1" t="s">
        <v>102</v>
      </c>
      <c r="F158" s="7">
        <v>1</v>
      </c>
      <c r="G158" s="70">
        <v>2611.7399999999998</v>
      </c>
      <c r="H158" s="57">
        <v>3226.42</v>
      </c>
      <c r="I158" s="58">
        <f>TRUNC(Tabela2[[#This Row],[Coluna8]]*Tabela2[[#This Row],[Coluna6]],2)</f>
        <v>3226.42</v>
      </c>
      <c r="J158" s="124">
        <f>Tabela2[[#This Row],[Coluna9]]/Tabela2[[#Totals],[Coluna9]]</f>
        <v>2.3775599582948029E-3</v>
      </c>
    </row>
    <row r="159" spans="1:10" ht="39.6">
      <c r="A159" s="5" t="s">
        <v>179</v>
      </c>
      <c r="B159" s="190" t="s">
        <v>287</v>
      </c>
      <c r="C159" s="191" t="s">
        <v>357</v>
      </c>
      <c r="D159" s="192" t="s">
        <v>356</v>
      </c>
      <c r="E159" s="3" t="s">
        <v>103</v>
      </c>
      <c r="F159" s="188">
        <v>2</v>
      </c>
      <c r="G159" s="193">
        <v>1055.04</v>
      </c>
      <c r="H159" s="57">
        <v>1303.3399999999999</v>
      </c>
      <c r="I159" s="58">
        <f>TRUNC(Tabela2[[#This Row],[Coluna8]]*Tabela2[[#This Row],[Coluna6]],2)</f>
        <v>2606.6799999999998</v>
      </c>
      <c r="J159" s="124">
        <f>Tabela2[[#This Row],[Coluna9]]/Tabela2[[#Totals],[Coluna9]]</f>
        <v>1.9208714278016799E-3</v>
      </c>
    </row>
    <row r="160" spans="1:10" ht="26.4">
      <c r="A160" s="197" t="s">
        <v>253</v>
      </c>
      <c r="B160" s="3">
        <v>99814</v>
      </c>
      <c r="C160" s="6" t="s">
        <v>13</v>
      </c>
      <c r="D160" s="4" t="s">
        <v>187</v>
      </c>
      <c r="E160" s="3" t="s">
        <v>2</v>
      </c>
      <c r="F160" s="188">
        <v>1097.3900000000001</v>
      </c>
      <c r="G160" s="70">
        <v>1.91</v>
      </c>
      <c r="H160" s="57">
        <v>2.35</v>
      </c>
      <c r="I160" s="58">
        <f>TRUNC(Tabela2[[#This Row],[Coluna8]]*Tabela2[[#This Row],[Coluna6]],2)</f>
        <v>2578.86</v>
      </c>
      <c r="J160" s="124">
        <f>Tabela2[[#This Row],[Coluna9]]/Tabela2[[#Totals],[Coluna9]]</f>
        <v>1.9003707744336248E-3</v>
      </c>
    </row>
    <row r="161" spans="1:10" ht="39.6">
      <c r="A161" s="5" t="s">
        <v>246</v>
      </c>
      <c r="B161" s="6">
        <v>91864</v>
      </c>
      <c r="C161" s="1" t="s">
        <v>13</v>
      </c>
      <c r="D161" s="141" t="s">
        <v>274</v>
      </c>
      <c r="E161" s="1" t="s">
        <v>1</v>
      </c>
      <c r="F161" s="7">
        <v>135.4</v>
      </c>
      <c r="G161" s="70">
        <v>15.38</v>
      </c>
      <c r="H161" s="57">
        <v>18.989999999999998</v>
      </c>
      <c r="I161" s="58">
        <f>TRUNC(Tabela2[[#This Row],[Coluna8]]*Tabela2[[#This Row],[Coluna6]],2)</f>
        <v>2571.2399999999998</v>
      </c>
      <c r="J161" s="124">
        <f>Tabela2[[#This Row],[Coluna9]]/Tabela2[[#Totals],[Coluna9]]</f>
        <v>1.8947555703119645E-3</v>
      </c>
    </row>
    <row r="162" spans="1:10" ht="39.6">
      <c r="A162" s="197" t="s">
        <v>9</v>
      </c>
      <c r="B162" s="200">
        <v>87894</v>
      </c>
      <c r="C162" s="191" t="s">
        <v>13</v>
      </c>
      <c r="D162" s="201" t="s">
        <v>155</v>
      </c>
      <c r="E162" s="6" t="s">
        <v>2</v>
      </c>
      <c r="F162" s="188">
        <v>290.96000000000004</v>
      </c>
      <c r="G162" s="70">
        <v>6.71</v>
      </c>
      <c r="H162" s="57">
        <v>8.2799999999999994</v>
      </c>
      <c r="I162" s="58">
        <f>TRUNC(Tabela2[[#This Row],[Coluna8]]*Tabela2[[#This Row],[Coluna6]],2)</f>
        <v>2409.14</v>
      </c>
      <c r="J162" s="124">
        <f>Tabela2[[#This Row],[Coluna9]]/Tabela2[[#Totals],[Coluna9]]</f>
        <v>1.7753035246267817E-3</v>
      </c>
    </row>
    <row r="163" spans="1:10" ht="26.4">
      <c r="A163" s="5" t="s">
        <v>127</v>
      </c>
      <c r="B163" s="190">
        <v>96545</v>
      </c>
      <c r="C163" s="191" t="s">
        <v>13</v>
      </c>
      <c r="D163" s="192" t="s">
        <v>130</v>
      </c>
      <c r="E163" s="3" t="s">
        <v>16</v>
      </c>
      <c r="F163" s="7">
        <v>113.63</v>
      </c>
      <c r="G163" s="193">
        <v>16.649999999999999</v>
      </c>
      <c r="H163" s="57">
        <v>20.56</v>
      </c>
      <c r="I163" s="58">
        <f>TRUNC(Tabela2[[#This Row],[Coluna8]]*Tabela2[[#This Row],[Coluna6]],2)</f>
        <v>2336.23</v>
      </c>
      <c r="J163" s="124">
        <f>Tabela2[[#This Row],[Coluna9]]/Tabela2[[#Totals],[Coluna9]]</f>
        <v>1.7215758956884309E-3</v>
      </c>
    </row>
    <row r="164" spans="1:10" ht="39.6">
      <c r="A164" s="5" t="s">
        <v>3</v>
      </c>
      <c r="B164" s="190">
        <v>103689</v>
      </c>
      <c r="C164" s="191" t="s">
        <v>13</v>
      </c>
      <c r="D164" s="192" t="s">
        <v>119</v>
      </c>
      <c r="E164" s="3" t="s">
        <v>2</v>
      </c>
      <c r="F164" s="7">
        <v>6</v>
      </c>
      <c r="G164" s="193">
        <v>312.68</v>
      </c>
      <c r="H164" s="57">
        <v>386.27</v>
      </c>
      <c r="I164" s="58">
        <f>TRUNC(Tabela2[[#This Row],[Coluna8]]*Tabela2[[#This Row],[Coluna6]],2)</f>
        <v>2317.62</v>
      </c>
      <c r="J164" s="124">
        <f>Tabela2[[#This Row],[Coluna9]]/Tabela2[[#Totals],[Coluna9]]</f>
        <v>1.7078621228926181E-3</v>
      </c>
    </row>
    <row r="165" spans="1:10" ht="26.4">
      <c r="A165" s="5" t="s">
        <v>232</v>
      </c>
      <c r="B165" s="6">
        <v>89580</v>
      </c>
      <c r="C165" s="1" t="s">
        <v>13</v>
      </c>
      <c r="D165" s="141" t="s">
        <v>234</v>
      </c>
      <c r="E165" s="1" t="s">
        <v>1</v>
      </c>
      <c r="F165" s="7">
        <v>25</v>
      </c>
      <c r="G165" s="70">
        <v>74.319999999999993</v>
      </c>
      <c r="H165" s="57">
        <v>91.81</v>
      </c>
      <c r="I165" s="58">
        <f>TRUNC(Tabela2[[#This Row],[Coluna8]]*Tabela2[[#This Row],[Coluna6]],2)</f>
        <v>2295.25</v>
      </c>
      <c r="J165" s="124">
        <f>Tabela2[[#This Row],[Coluna9]]/Tabela2[[#Totals],[Coluna9]]</f>
        <v>1.6913775932073773E-3</v>
      </c>
    </row>
    <row r="166" spans="1:10" ht="39.6">
      <c r="A166" s="5" t="s">
        <v>125</v>
      </c>
      <c r="B166" s="6">
        <v>96617</v>
      </c>
      <c r="C166" s="1" t="s">
        <v>13</v>
      </c>
      <c r="D166" s="341" t="s">
        <v>128</v>
      </c>
      <c r="E166" s="1" t="s">
        <v>2</v>
      </c>
      <c r="F166" s="7">
        <v>77.17</v>
      </c>
      <c r="G166" s="70">
        <v>19.809999999999999</v>
      </c>
      <c r="H166" s="57">
        <v>24.47</v>
      </c>
      <c r="I166" s="58">
        <f>TRUNC(Tabela2[[#This Row],[Coluna8]]*Tabela2[[#This Row],[Coluna6]],2)</f>
        <v>1888.34</v>
      </c>
      <c r="J166" s="124">
        <f>Tabela2[[#This Row],[Coluna9]]/Tabela2[[#Totals],[Coluna9]]</f>
        <v>1.3915242193038749E-3</v>
      </c>
    </row>
    <row r="167" spans="1:10" ht="81.599999999999994" customHeight="1">
      <c r="A167" s="5" t="s">
        <v>97</v>
      </c>
      <c r="B167" s="6">
        <v>104737</v>
      </c>
      <c r="C167" s="1" t="s">
        <v>13</v>
      </c>
      <c r="D167" s="141" t="s">
        <v>193</v>
      </c>
      <c r="E167" s="1" t="s">
        <v>10</v>
      </c>
      <c r="F167" s="7">
        <v>69.37</v>
      </c>
      <c r="G167" s="70">
        <v>21.44</v>
      </c>
      <c r="H167" s="57">
        <v>26.48</v>
      </c>
      <c r="I167" s="58">
        <f>TRUNC(Tabela2[[#This Row],[Coluna8]]*Tabela2[[#This Row],[Coluna6]],2)</f>
        <v>1836.91</v>
      </c>
      <c r="J167" s="213">
        <f>Tabela2[[#This Row],[Coluna9]]/Tabela2[[#Totals],[Coluna9]]</f>
        <v>1.3536252759998098E-3</v>
      </c>
    </row>
    <row r="168" spans="1:10" ht="39.6">
      <c r="A168" s="5" t="s">
        <v>231</v>
      </c>
      <c r="B168" s="6">
        <v>89578</v>
      </c>
      <c r="C168" s="1" t="s">
        <v>13</v>
      </c>
      <c r="D168" s="141" t="s">
        <v>233</v>
      </c>
      <c r="E168" s="1" t="s">
        <v>1</v>
      </c>
      <c r="F168" s="7">
        <v>40</v>
      </c>
      <c r="G168" s="70">
        <v>35.840000000000003</v>
      </c>
      <c r="H168" s="57">
        <v>44.27</v>
      </c>
      <c r="I168" s="58">
        <f>TRUNC(Tabela2[[#This Row],[Coluna8]]*Tabela2[[#This Row],[Coluna6]],2)</f>
        <v>1770.8</v>
      </c>
      <c r="J168" s="124">
        <f>Tabela2[[#This Row],[Coluna9]]/Tabela2[[#Totals],[Coluna9]]</f>
        <v>1.3049085903721266E-3</v>
      </c>
    </row>
    <row r="169" spans="1:10" ht="52.8">
      <c r="A169" s="5" t="s">
        <v>6</v>
      </c>
      <c r="B169" s="190">
        <v>96527</v>
      </c>
      <c r="C169" s="191" t="s">
        <v>13</v>
      </c>
      <c r="D169" s="192" t="s">
        <v>191</v>
      </c>
      <c r="E169" s="3" t="s">
        <v>10</v>
      </c>
      <c r="F169" s="7">
        <v>11.04</v>
      </c>
      <c r="G169" s="193">
        <v>126.72</v>
      </c>
      <c r="H169" s="57">
        <v>156.54</v>
      </c>
      <c r="I169" s="58">
        <f>TRUNC(Tabela2[[#This Row],[Coluna8]]*Tabela2[[#This Row],[Coluna6]],2)</f>
        <v>1728.2</v>
      </c>
      <c r="J169" s="124">
        <f>Tabela2[[#This Row],[Coluna9]]/Tabela2[[#Totals],[Coluna9]]</f>
        <v>1.2735165043376493E-3</v>
      </c>
    </row>
    <row r="170" spans="1:10" ht="52.8">
      <c r="A170" s="5" t="s">
        <v>268</v>
      </c>
      <c r="B170" s="6">
        <v>92759</v>
      </c>
      <c r="C170" s="1" t="s">
        <v>13</v>
      </c>
      <c r="D170" s="141" t="s">
        <v>141</v>
      </c>
      <c r="E170" s="1" t="s">
        <v>16</v>
      </c>
      <c r="F170" s="7">
        <v>87</v>
      </c>
      <c r="G170" s="70">
        <v>15.71</v>
      </c>
      <c r="H170" s="57">
        <v>19.399999999999999</v>
      </c>
      <c r="I170" s="58">
        <f>TRUNC(Tabela2[[#This Row],[Coluna8]]*Tabela2[[#This Row],[Coluna6]],2)</f>
        <v>1687.8</v>
      </c>
      <c r="J170" s="124">
        <f>Tabela2[[#This Row],[Coluna9]]/Tabela2[[#Totals],[Coluna9]]</f>
        <v>1.2437456058448583E-3</v>
      </c>
    </row>
    <row r="171" spans="1:10" ht="39.6">
      <c r="A171" s="197" t="s">
        <v>172</v>
      </c>
      <c r="B171" s="190">
        <v>1333</v>
      </c>
      <c r="C171" s="191" t="s">
        <v>343</v>
      </c>
      <c r="D171" s="192" t="s">
        <v>328</v>
      </c>
      <c r="E171" s="3" t="s">
        <v>16</v>
      </c>
      <c r="F171" s="188">
        <v>163.76</v>
      </c>
      <c r="G171" s="70">
        <v>8.5500000000000007</v>
      </c>
      <c r="H171" s="57">
        <v>9.85</v>
      </c>
      <c r="I171" s="58">
        <f>TRUNC(Tabela2[[#This Row],[Coluna8]]*Tabela2[[#This Row],[Coluna6]],2)</f>
        <v>1613.03</v>
      </c>
      <c r="J171" s="124">
        <f>Tabela2[[#This Row],[Coluna9]]/Tabela2[[#Totals],[Coluna9]]</f>
        <v>1.1886473365303543E-3</v>
      </c>
    </row>
    <row r="172" spans="1:10" ht="52.8">
      <c r="A172" s="197" t="s">
        <v>249</v>
      </c>
      <c r="B172" s="3">
        <v>91924</v>
      </c>
      <c r="C172" s="6" t="s">
        <v>13</v>
      </c>
      <c r="D172" s="4" t="s">
        <v>207</v>
      </c>
      <c r="E172" s="3" t="s">
        <v>1</v>
      </c>
      <c r="F172" s="188">
        <v>465.8</v>
      </c>
      <c r="G172" s="70">
        <v>2.75</v>
      </c>
      <c r="H172" s="57">
        <v>3.39</v>
      </c>
      <c r="I172" s="58">
        <f>TRUNC(Tabela2[[#This Row],[Coluna8]]*Tabela2[[#This Row],[Coluna6]],2)</f>
        <v>1579.06</v>
      </c>
      <c r="J172" s="124">
        <f>Tabela2[[#This Row],[Coluna9]]/Tabela2[[#Totals],[Coluna9]]</f>
        <v>1.1636147270798567E-3</v>
      </c>
    </row>
    <row r="173" spans="1:10" ht="26.4">
      <c r="A173" s="5" t="s">
        <v>145</v>
      </c>
      <c r="B173" s="190">
        <v>92764</v>
      </c>
      <c r="C173" s="191" t="s">
        <v>13</v>
      </c>
      <c r="D173" s="192" t="s">
        <v>266</v>
      </c>
      <c r="E173" s="3" t="s">
        <v>16</v>
      </c>
      <c r="F173" s="7">
        <v>109.45</v>
      </c>
      <c r="G173" s="193">
        <v>10.74</v>
      </c>
      <c r="H173" s="57">
        <v>13.26</v>
      </c>
      <c r="I173" s="58">
        <f>TRUNC(Tabela2[[#This Row],[Coluna8]]*Tabela2[[#This Row],[Coluna6]],2)</f>
        <v>1451.3</v>
      </c>
      <c r="J173" s="124">
        <f>Tabela2[[#This Row],[Coluna9]]/Tabela2[[#Totals],[Coluna9]]</f>
        <v>1.069467945113546E-3</v>
      </c>
    </row>
    <row r="174" spans="1:10" ht="39.6">
      <c r="A174" s="5" t="s">
        <v>227</v>
      </c>
      <c r="B174" s="190">
        <v>10997</v>
      </c>
      <c r="C174" s="191" t="s">
        <v>343</v>
      </c>
      <c r="D174" s="192" t="s">
        <v>331</v>
      </c>
      <c r="E174" s="3" t="s">
        <v>16</v>
      </c>
      <c r="F174" s="7">
        <v>45.88</v>
      </c>
      <c r="G174" s="193">
        <v>25.95</v>
      </c>
      <c r="H174" s="57">
        <v>29.91</v>
      </c>
      <c r="I174" s="58">
        <f>TRUNC(Tabela2[[#This Row],[Coluna8]]*Tabela2[[#This Row],[Coluna6]],2)</f>
        <v>1372.27</v>
      </c>
      <c r="J174" s="124">
        <f>Tabela2[[#This Row],[Coluna9]]/Tabela2[[#Totals],[Coluna9]]</f>
        <v>1.0112304671955942E-3</v>
      </c>
    </row>
    <row r="175" spans="1:10" ht="39.6">
      <c r="A175" s="5" t="s">
        <v>197</v>
      </c>
      <c r="B175" s="6">
        <v>92763</v>
      </c>
      <c r="C175" s="208" t="s">
        <v>13</v>
      </c>
      <c r="D175" s="2" t="s">
        <v>264</v>
      </c>
      <c r="E175" s="1" t="s">
        <v>16</v>
      </c>
      <c r="F175" s="7">
        <v>94.18</v>
      </c>
      <c r="G175" s="70">
        <v>11.02</v>
      </c>
      <c r="H175" s="57">
        <v>13.61</v>
      </c>
      <c r="I175" s="58">
        <f>TRUNC(Tabela2[[#This Row],[Coluna8]]*Tabela2[[#This Row],[Coluna6]],2)</f>
        <v>1281.78</v>
      </c>
      <c r="J175" s="124">
        <f>Tabela2[[#This Row],[Coluna9]]/Tabela2[[#Totals],[Coluna9]]</f>
        <v>9.445480759923111E-4</v>
      </c>
    </row>
    <row r="176" spans="1:10" ht="39.6">
      <c r="A176" s="5" t="s">
        <v>134</v>
      </c>
      <c r="B176" s="190">
        <v>96548</v>
      </c>
      <c r="C176" s="191" t="s">
        <v>13</v>
      </c>
      <c r="D176" s="192" t="s">
        <v>262</v>
      </c>
      <c r="E176" s="3" t="s">
        <v>16</v>
      </c>
      <c r="F176" s="7">
        <v>81.45</v>
      </c>
      <c r="G176" s="193">
        <v>11.81</v>
      </c>
      <c r="H176" s="57">
        <v>14.58</v>
      </c>
      <c r="I176" s="58">
        <f>TRUNC(Tabela2[[#This Row],[Coluna8]]*Tabela2[[#This Row],[Coluna6]],2)</f>
        <v>1187.54</v>
      </c>
      <c r="J176" s="124">
        <f>Tabela2[[#This Row],[Coluna9]]/Tabela2[[#Totals],[Coluna9]]</f>
        <v>8.7510229693388026E-4</v>
      </c>
    </row>
    <row r="177" spans="1:10" ht="66">
      <c r="A177" s="5" t="s">
        <v>247</v>
      </c>
      <c r="B177" s="208">
        <v>91865</v>
      </c>
      <c r="C177" s="208" t="s">
        <v>13</v>
      </c>
      <c r="D177" s="209" t="s">
        <v>275</v>
      </c>
      <c r="E177" s="1" t="s">
        <v>1</v>
      </c>
      <c r="F177" s="7">
        <v>40.74</v>
      </c>
      <c r="G177" s="70">
        <v>19.32</v>
      </c>
      <c r="H177" s="57">
        <v>23.86</v>
      </c>
      <c r="I177" s="58">
        <f>TRUNC(Tabela2[[#This Row],[Coluna8]]*Tabela2[[#This Row],[Coluna6]],2)</f>
        <v>972.05</v>
      </c>
      <c r="J177" s="124">
        <f>Tabela2[[#This Row],[Coluna9]]/Tabela2[[#Totals],[Coluna9]]</f>
        <v>7.1630697722567516E-4</v>
      </c>
    </row>
    <row r="178" spans="1:10" ht="39.6">
      <c r="A178" s="5" t="s">
        <v>176</v>
      </c>
      <c r="B178" s="6">
        <v>102492</v>
      </c>
      <c r="C178" s="1" t="s">
        <v>13</v>
      </c>
      <c r="D178" s="141" t="s">
        <v>321</v>
      </c>
      <c r="E178" s="1" t="s">
        <v>2</v>
      </c>
      <c r="F178" s="7">
        <v>26.83</v>
      </c>
      <c r="G178" s="70">
        <v>25.97</v>
      </c>
      <c r="H178" s="57">
        <v>32.08</v>
      </c>
      <c r="I178" s="58">
        <f>TRUNC(Tabela2[[#This Row],[Coluna8]]*Tabela2[[#This Row],[Coluna6]],2)</f>
        <v>860.7</v>
      </c>
      <c r="J178" s="124">
        <f>Tabela2[[#This Row],[Coluna9]]/Tabela2[[#Totals],[Coluna9]]</f>
        <v>6.3425278051349072E-4</v>
      </c>
    </row>
    <row r="179" spans="1:10" ht="52.8">
      <c r="A179" s="5" t="s">
        <v>4</v>
      </c>
      <c r="B179" s="6">
        <v>98525</v>
      </c>
      <c r="C179" s="1" t="s">
        <v>13</v>
      </c>
      <c r="D179" s="141" t="s">
        <v>120</v>
      </c>
      <c r="E179" s="1" t="s">
        <v>2</v>
      </c>
      <c r="F179" s="7">
        <v>1118</v>
      </c>
      <c r="G179" s="70">
        <v>0.41</v>
      </c>
      <c r="H179" s="57">
        <v>0.5</v>
      </c>
      <c r="I179" s="58">
        <f>TRUNC(Tabela2[[#This Row],[Coluna8]]*Tabela2[[#This Row],[Coluna6]],2)</f>
        <v>559</v>
      </c>
      <c r="J179" s="124">
        <f>Tabela2[[#This Row],[Coluna9]]/Tabela2[[#Totals],[Coluna9]]</f>
        <v>4.1192901627401106E-4</v>
      </c>
    </row>
    <row r="180" spans="1:10" ht="52.8">
      <c r="A180" s="5" t="s">
        <v>250</v>
      </c>
      <c r="B180" s="6">
        <v>91928</v>
      </c>
      <c r="C180" s="1" t="s">
        <v>13</v>
      </c>
      <c r="D180" s="141" t="s">
        <v>186</v>
      </c>
      <c r="E180" s="1" t="s">
        <v>1</v>
      </c>
      <c r="F180" s="7">
        <v>62.88</v>
      </c>
      <c r="G180" s="70">
        <v>6.05</v>
      </c>
      <c r="H180" s="57">
        <v>7.47</v>
      </c>
      <c r="I180" s="58">
        <f>TRUNC(Tabela2[[#This Row],[Coluna8]]*Tabela2[[#This Row],[Coluna6]],2)</f>
        <v>469.71</v>
      </c>
      <c r="J180" s="124">
        <f>Tabela2[[#This Row],[Coluna9]]/Tabela2[[#Totals],[Coluna9]]</f>
        <v>3.4613090918437519E-4</v>
      </c>
    </row>
    <row r="181" spans="1:10" ht="26.4">
      <c r="A181" s="5" t="s">
        <v>171</v>
      </c>
      <c r="B181" s="6">
        <v>1332</v>
      </c>
      <c r="C181" s="1" t="s">
        <v>343</v>
      </c>
      <c r="D181" s="141" t="s">
        <v>327</v>
      </c>
      <c r="E181" s="1" t="s">
        <v>16</v>
      </c>
      <c r="F181" s="7">
        <v>46.338098967000001</v>
      </c>
      <c r="G181" s="70">
        <v>8.68</v>
      </c>
      <c r="H181" s="57">
        <v>10</v>
      </c>
      <c r="I181" s="58">
        <f>TRUNC(Tabela2[[#This Row],[Coluna8]]*Tabela2[[#This Row],[Coluna6]],2)</f>
        <v>463.38</v>
      </c>
      <c r="J181" s="124">
        <f>Tabela2[[#This Row],[Coluna9]]/Tabela2[[#Totals],[Coluna9]]</f>
        <v>3.4146631048488597E-4</v>
      </c>
    </row>
    <row r="182" spans="1:10" ht="26.4">
      <c r="A182" s="5" t="s">
        <v>323</v>
      </c>
      <c r="B182" s="190">
        <v>89746</v>
      </c>
      <c r="C182" s="191" t="s">
        <v>13</v>
      </c>
      <c r="D182" s="340" t="s">
        <v>235</v>
      </c>
      <c r="E182" s="3" t="s">
        <v>103</v>
      </c>
      <c r="F182" s="7">
        <v>12</v>
      </c>
      <c r="G182" s="193">
        <v>30.13</v>
      </c>
      <c r="H182" s="57">
        <v>37.22</v>
      </c>
      <c r="I182" s="58">
        <f>TRUNC(Tabela2[[#This Row],[Coluna8]]*Tabela2[[#This Row],[Coluna6]],2)</f>
        <v>446.64</v>
      </c>
      <c r="J182" s="124">
        <f>Tabela2[[#This Row],[Coluna9]]/Tabela2[[#Totals],[Coluna9]]</f>
        <v>3.2913054709950677E-4</v>
      </c>
    </row>
    <row r="183" spans="1:10" ht="52.8">
      <c r="A183" s="5" t="s">
        <v>244</v>
      </c>
      <c r="B183" s="6">
        <v>101875</v>
      </c>
      <c r="C183" s="1" t="s">
        <v>13</v>
      </c>
      <c r="D183" s="141" t="s">
        <v>185</v>
      </c>
      <c r="E183" s="1" t="s">
        <v>103</v>
      </c>
      <c r="F183" s="7">
        <v>1</v>
      </c>
      <c r="G183" s="70">
        <v>358.15</v>
      </c>
      <c r="H183" s="57">
        <v>442.44</v>
      </c>
      <c r="I183" s="58">
        <f>TRUNC(Tabela2[[#This Row],[Coluna8]]*Tabela2[[#This Row],[Coluna6]],2)</f>
        <v>442.44</v>
      </c>
      <c r="J183" s="124">
        <f>Tabela2[[#This Row],[Coluna9]]/Tabela2[[#Totals],[Coluna9]]</f>
        <v>3.2603555270174143E-4</v>
      </c>
    </row>
    <row r="184" spans="1:10" ht="26.4">
      <c r="A184" s="5" t="s">
        <v>324</v>
      </c>
      <c r="B184" s="6">
        <v>89744</v>
      </c>
      <c r="C184" s="1" t="s">
        <v>13</v>
      </c>
      <c r="D184" s="141" t="s">
        <v>236</v>
      </c>
      <c r="E184" s="1" t="s">
        <v>103</v>
      </c>
      <c r="F184" s="7">
        <v>12</v>
      </c>
      <c r="G184" s="70">
        <v>29.21</v>
      </c>
      <c r="H184" s="57">
        <v>36.08</v>
      </c>
      <c r="I184" s="58">
        <f>TRUNC(Tabela2[[#This Row],[Coluna8]]*Tabela2[[#This Row],[Coluna6]],2)</f>
        <v>432.96</v>
      </c>
      <c r="J184" s="124">
        <f>Tabela2[[#This Row],[Coluna9]]/Tabela2[[#Totals],[Coluna9]]</f>
        <v>3.1904970820392813E-4</v>
      </c>
    </row>
    <row r="185" spans="1:10" ht="39.6">
      <c r="A185" s="197" t="s">
        <v>248</v>
      </c>
      <c r="B185" s="3">
        <v>93008</v>
      </c>
      <c r="C185" s="6" t="s">
        <v>13</v>
      </c>
      <c r="D185" s="4" t="s">
        <v>276</v>
      </c>
      <c r="E185" s="3" t="s">
        <v>1</v>
      </c>
      <c r="F185" s="188">
        <v>15.72</v>
      </c>
      <c r="G185" s="70">
        <v>19.010000000000002</v>
      </c>
      <c r="H185" s="57">
        <v>23.48</v>
      </c>
      <c r="I185" s="58">
        <f>TRUNC(Tabela2[[#This Row],[Coluna8]]*Tabela2[[#This Row],[Coluna6]],2)</f>
        <v>369.1</v>
      </c>
      <c r="J185" s="124">
        <f>Tabela2[[#This Row],[Coluna9]]/Tabela2[[#Totals],[Coluna9]]</f>
        <v>2.7199105528933362E-4</v>
      </c>
    </row>
    <row r="186" spans="1:10" ht="39.6">
      <c r="A186" s="5" t="s">
        <v>325</v>
      </c>
      <c r="B186" s="190">
        <v>89567</v>
      </c>
      <c r="C186" s="191" t="s">
        <v>13</v>
      </c>
      <c r="D186" s="192" t="s">
        <v>237</v>
      </c>
      <c r="E186" s="3" t="s">
        <v>103</v>
      </c>
      <c r="F186" s="7">
        <v>3</v>
      </c>
      <c r="G186" s="193">
        <v>86.5</v>
      </c>
      <c r="H186" s="57">
        <v>106.85</v>
      </c>
      <c r="I186" s="58">
        <f>TRUNC(Tabela2[[#This Row],[Coluna8]]*Tabela2[[#This Row],[Coluna6]],2)</f>
        <v>320.55</v>
      </c>
      <c r="J186" s="124">
        <f>Tabela2[[#This Row],[Coluna9]]/Tabela2[[#Totals],[Coluna9]]</f>
        <v>2.3621439385802191E-4</v>
      </c>
    </row>
    <row r="187" spans="1:10" ht="39.6">
      <c r="A187" s="5" t="s">
        <v>243</v>
      </c>
      <c r="B187" s="190">
        <v>101946</v>
      </c>
      <c r="C187" s="191" t="s">
        <v>13</v>
      </c>
      <c r="D187" s="192" t="s">
        <v>112</v>
      </c>
      <c r="E187" s="3" t="s">
        <v>103</v>
      </c>
      <c r="F187" s="7">
        <v>1</v>
      </c>
      <c r="G187" s="193">
        <v>191.74</v>
      </c>
      <c r="H187" s="57">
        <v>236.86</v>
      </c>
      <c r="I187" s="58">
        <f>TRUNC(Tabela2[[#This Row],[Coluna8]]*Tabela2[[#This Row],[Coluna6]],2)</f>
        <v>236.86</v>
      </c>
      <c r="J187" s="124">
        <f>Tabela2[[#This Row],[Coluna9]]/Tabela2[[#Totals],[Coluna9]]</f>
        <v>1.7454294596540656E-4</v>
      </c>
    </row>
    <row r="188" spans="1:10" ht="39.6">
      <c r="A188" s="5" t="s">
        <v>5</v>
      </c>
      <c r="B188" s="6">
        <v>100575</v>
      </c>
      <c r="C188" s="1" t="s">
        <v>13</v>
      </c>
      <c r="D188" s="141" t="s">
        <v>121</v>
      </c>
      <c r="E188" s="1" t="s">
        <v>2</v>
      </c>
      <c r="F188" s="7">
        <v>1118</v>
      </c>
      <c r="G188" s="70">
        <v>0.15</v>
      </c>
      <c r="H188" s="57">
        <v>0.18</v>
      </c>
      <c r="I188" s="58">
        <f>TRUNC(Tabela2[[#This Row],[Coluna8]]*Tabela2[[#This Row],[Coluna6]],2)</f>
        <v>201.24</v>
      </c>
      <c r="J188" s="213">
        <f>Tabela2[[#This Row],[Coluna9]]/Tabela2[[#Totals],[Coluna9]]</f>
        <v>1.4829444585864399E-4</v>
      </c>
    </row>
    <row r="189" spans="1:10" ht="39.6">
      <c r="A189" s="5" t="s">
        <v>251</v>
      </c>
      <c r="B189" s="190">
        <v>92979</v>
      </c>
      <c r="C189" s="191" t="s">
        <v>13</v>
      </c>
      <c r="D189" s="192" t="s">
        <v>273</v>
      </c>
      <c r="E189" s="3" t="s">
        <v>1</v>
      </c>
      <c r="F189" s="7">
        <v>14.8</v>
      </c>
      <c r="G189" s="193">
        <v>9.7200000000000006</v>
      </c>
      <c r="H189" s="57">
        <v>12</v>
      </c>
      <c r="I189" s="58">
        <f>TRUNC(Tabela2[[#This Row],[Coluna8]]*Tabela2[[#This Row],[Coluna6]],2)</f>
        <v>177.6</v>
      </c>
      <c r="J189" s="124">
        <f>Tabela2[[#This Row],[Coluna9]]/Tabela2[[#Totals],[Coluna9]]</f>
        <v>1.3087404881979313E-4</v>
      </c>
    </row>
    <row r="190" spans="1:10" ht="39.6">
      <c r="A190" s="197" t="s">
        <v>245</v>
      </c>
      <c r="B190" s="3">
        <v>93653</v>
      </c>
      <c r="C190" s="6" t="s">
        <v>13</v>
      </c>
      <c r="D190" s="4" t="s">
        <v>272</v>
      </c>
      <c r="E190" s="3" t="s">
        <v>103</v>
      </c>
      <c r="F190" s="188">
        <v>6</v>
      </c>
      <c r="G190" s="70">
        <v>13.39</v>
      </c>
      <c r="H190" s="57">
        <v>16.54</v>
      </c>
      <c r="I190" s="58">
        <f>TRUNC(Tabela2[[#This Row],[Coluna8]]*Tabela2[[#This Row],[Coluna6]],2)</f>
        <v>99.24</v>
      </c>
      <c r="J190" s="124">
        <f>Tabela2[[#This Row],[Coluna9]]/Tabela2[[#Totals],[Coluna9]]</f>
        <v>7.313029619862765E-5</v>
      </c>
    </row>
    <row r="191" spans="1:10" ht="26.4">
      <c r="A191" s="189" t="s">
        <v>150</v>
      </c>
      <c r="B191" s="190">
        <v>92760</v>
      </c>
      <c r="C191" s="191" t="s">
        <v>13</v>
      </c>
      <c r="D191" s="192" t="s">
        <v>267</v>
      </c>
      <c r="E191" s="3" t="s">
        <v>16</v>
      </c>
      <c r="F191" s="7">
        <v>1.54</v>
      </c>
      <c r="G191" s="193">
        <v>15.16</v>
      </c>
      <c r="H191" s="57">
        <v>18.72</v>
      </c>
      <c r="I191" s="58">
        <f>TRUNC(Tabela2[[#This Row],[Coluna8]]*Tabela2[[#This Row],[Coluna6]],2)</f>
        <v>28.82</v>
      </c>
      <c r="J191" s="124">
        <f>Tabela2[[#This Row],[Coluna9]]/Tabela2[[#Totals],[Coluna9]]</f>
        <v>2.1237556796094809E-5</v>
      </c>
    </row>
    <row r="192" spans="1:10">
      <c r="A192" s="5"/>
      <c r="B192" s="5"/>
      <c r="C192" s="5"/>
      <c r="D192" s="196"/>
      <c r="E192" s="197"/>
      <c r="F192" s="202"/>
      <c r="G192" s="203"/>
      <c r="H192" s="204"/>
      <c r="I192" s="205">
        <f>SUM(Tabela2[Coluna9])</f>
        <v>1357029.9200000002</v>
      </c>
      <c r="J192" s="206"/>
    </row>
    <row r="193" spans="1:9">
      <c r="A193" s="61"/>
      <c r="B193" s="61"/>
      <c r="C193" s="61"/>
      <c r="D193" s="62"/>
      <c r="E193" s="61"/>
      <c r="F193" s="61"/>
      <c r="G193" s="61"/>
      <c r="H193" s="61"/>
      <c r="I193" s="61"/>
    </row>
    <row r="194" spans="1:9">
      <c r="A194" s="61"/>
      <c r="B194" s="61"/>
      <c r="C194" s="61"/>
      <c r="D194" s="62"/>
      <c r="E194" s="61"/>
      <c r="F194" s="61"/>
      <c r="G194" s="61"/>
      <c r="H194" s="61"/>
      <c r="I194" s="61"/>
    </row>
    <row r="195" spans="1:9">
      <c r="A195" s="61"/>
      <c r="B195" s="61"/>
      <c r="C195" s="61"/>
      <c r="D195" s="62"/>
      <c r="E195" s="61"/>
      <c r="F195" s="61"/>
      <c r="G195" s="61"/>
      <c r="H195" s="61"/>
      <c r="I195" s="61"/>
    </row>
    <row r="196" spans="1:9">
      <c r="A196" s="61"/>
      <c r="B196" s="61"/>
      <c r="C196" s="61"/>
      <c r="D196" s="62"/>
      <c r="E196" s="61"/>
      <c r="F196" s="61"/>
      <c r="G196" s="61"/>
      <c r="H196" s="61"/>
      <c r="I196" s="61"/>
    </row>
    <row r="197" spans="1:9">
      <c r="A197" s="61"/>
      <c r="B197" s="61"/>
      <c r="C197" s="61"/>
      <c r="D197" s="62"/>
      <c r="E197" s="61"/>
      <c r="F197" s="61"/>
      <c r="G197" s="61"/>
      <c r="H197" s="61"/>
      <c r="I197" s="61"/>
    </row>
    <row r="198" spans="1:9">
      <c r="A198" s="61"/>
      <c r="B198" s="61"/>
      <c r="C198" s="61"/>
      <c r="D198" s="62"/>
      <c r="E198" s="61"/>
      <c r="F198" s="61"/>
      <c r="G198" s="61"/>
      <c r="H198" s="61"/>
      <c r="I198" s="61"/>
    </row>
    <row r="199" spans="1:9">
      <c r="A199" s="61"/>
      <c r="B199" s="61"/>
      <c r="C199" s="61"/>
      <c r="D199" s="62"/>
      <c r="E199" s="61"/>
      <c r="F199" s="61"/>
      <c r="G199" s="61"/>
      <c r="H199" s="61"/>
      <c r="I199" s="61"/>
    </row>
    <row r="200" spans="1:9">
      <c r="A200" s="61"/>
      <c r="B200" s="61"/>
      <c r="C200" s="61"/>
      <c r="D200" s="62"/>
      <c r="E200" s="61"/>
      <c r="F200" s="61"/>
      <c r="G200" s="61"/>
      <c r="H200" s="61"/>
      <c r="I200" s="61"/>
    </row>
    <row r="201" spans="1:9">
      <c r="A201" s="61"/>
      <c r="B201" s="61"/>
      <c r="C201" s="61"/>
      <c r="D201" s="62"/>
      <c r="E201" s="61"/>
      <c r="F201" s="61"/>
      <c r="G201" s="61"/>
      <c r="H201" s="61"/>
      <c r="I201" s="61"/>
    </row>
    <row r="202" spans="1:9">
      <c r="A202" s="61"/>
      <c r="B202" s="61"/>
      <c r="C202" s="61"/>
      <c r="D202" s="62"/>
      <c r="E202" s="61"/>
      <c r="F202" s="61"/>
      <c r="G202" s="61"/>
      <c r="H202" s="61"/>
      <c r="I202" s="61"/>
    </row>
    <row r="203" spans="1:9">
      <c r="A203" s="61"/>
      <c r="B203" s="61"/>
      <c r="C203" s="61"/>
      <c r="D203" s="62"/>
      <c r="E203" s="61"/>
      <c r="F203" s="61"/>
      <c r="G203" s="61"/>
      <c r="H203" s="61"/>
      <c r="I203" s="61"/>
    </row>
    <row r="204" spans="1:9">
      <c r="A204" s="61"/>
      <c r="B204" s="61"/>
      <c r="C204" s="61"/>
      <c r="D204" s="62"/>
      <c r="E204" s="61"/>
      <c r="F204" s="61"/>
      <c r="G204" s="61"/>
      <c r="H204" s="61"/>
      <c r="I204" s="61"/>
    </row>
    <row r="205" spans="1:9">
      <c r="A205" s="61"/>
      <c r="B205" s="61"/>
      <c r="C205" s="61"/>
      <c r="D205" s="62"/>
      <c r="E205" s="61"/>
      <c r="F205" s="61"/>
      <c r="G205" s="61"/>
      <c r="H205" s="61"/>
      <c r="I205" s="61"/>
    </row>
    <row r="206" spans="1:9">
      <c r="A206" s="61"/>
      <c r="B206" s="61"/>
      <c r="C206" s="61"/>
      <c r="D206" s="62"/>
      <c r="E206" s="61"/>
      <c r="F206" s="61"/>
      <c r="G206" s="61"/>
      <c r="H206" s="61"/>
      <c r="I206" s="61"/>
    </row>
    <row r="207" spans="1:9">
      <c r="A207" s="61"/>
      <c r="B207" s="61"/>
      <c r="C207" s="61"/>
      <c r="D207" s="62"/>
      <c r="E207" s="61"/>
      <c r="F207" s="61"/>
      <c r="G207" s="61"/>
      <c r="H207" s="61"/>
      <c r="I207" s="61"/>
    </row>
    <row r="208" spans="1:9">
      <c r="A208" s="61"/>
      <c r="B208" s="61"/>
      <c r="C208" s="61"/>
      <c r="D208" s="62"/>
      <c r="E208" s="61"/>
      <c r="F208" s="61"/>
      <c r="G208" s="61"/>
      <c r="H208" s="61"/>
      <c r="I208" s="61"/>
    </row>
    <row r="209" spans="1:9">
      <c r="A209" s="61"/>
      <c r="B209" s="61"/>
      <c r="C209" s="61"/>
      <c r="D209" s="62"/>
      <c r="E209" s="61"/>
      <c r="F209" s="61"/>
      <c r="G209" s="61"/>
      <c r="H209" s="61"/>
      <c r="I209" s="61"/>
    </row>
    <row r="210" spans="1:9">
      <c r="A210" s="61"/>
      <c r="B210" s="61"/>
      <c r="C210" s="61"/>
      <c r="D210" s="62"/>
      <c r="E210" s="61"/>
      <c r="F210" s="61"/>
      <c r="G210" s="61"/>
      <c r="H210" s="61"/>
      <c r="I210" s="61"/>
    </row>
    <row r="211" spans="1:9">
      <c r="A211" s="61"/>
      <c r="B211" s="61"/>
      <c r="C211" s="61"/>
      <c r="D211" s="62"/>
      <c r="E211" s="61"/>
      <c r="F211" s="61"/>
      <c r="G211" s="61"/>
      <c r="H211" s="61"/>
      <c r="I211" s="61"/>
    </row>
    <row r="212" spans="1:9">
      <c r="A212" s="61"/>
      <c r="B212" s="61"/>
      <c r="C212" s="61"/>
      <c r="D212" s="62"/>
      <c r="E212" s="61"/>
      <c r="F212" s="61"/>
      <c r="G212" s="61"/>
      <c r="H212" s="61"/>
      <c r="I212" s="61"/>
    </row>
    <row r="213" spans="1:9">
      <c r="A213" s="61"/>
      <c r="B213" s="61"/>
      <c r="C213" s="61"/>
      <c r="D213" s="62"/>
      <c r="E213" s="61"/>
      <c r="F213" s="61"/>
      <c r="G213" s="61"/>
      <c r="H213" s="61"/>
      <c r="I213" s="61"/>
    </row>
  </sheetData>
  <mergeCells count="12">
    <mergeCell ref="A11:K12"/>
    <mergeCell ref="A90:H90"/>
    <mergeCell ref="A91:K91"/>
    <mergeCell ref="G93:H94"/>
    <mergeCell ref="A1:J1"/>
    <mergeCell ref="A2:J2"/>
    <mergeCell ref="A3:B3"/>
    <mergeCell ref="G9:H9"/>
    <mergeCell ref="I9:K9"/>
    <mergeCell ref="G10:H10"/>
    <mergeCell ref="I10:K10"/>
    <mergeCell ref="D4:G4"/>
  </mergeCells>
  <conditionalFormatting sqref="C3 E3:I3 A3:A4 D3:D4 B6:C6 E6:I6 A6:A7 D6:D7 D8:I8 B8:C9 A9:A11">
    <cfRule type="cellIs" dxfId="12" priority="3" stopIfTrue="1" operator="equal">
      <formula>0</formula>
    </cfRule>
  </conditionalFormatting>
  <conditionalFormatting sqref="D9:G10">
    <cfRule type="cellIs" dxfId="11" priority="2" stopIfTrue="1" operator="equal">
      <formula>0</formula>
    </cfRule>
  </conditionalFormatting>
  <conditionalFormatting sqref="I9">
    <cfRule type="cellIs" dxfId="10" priority="1" stopIfTrue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46" orientation="portrait" r:id="rId1"/>
  <headerFooter>
    <oddFooter>Página &amp;P de &amp;N</oddFooter>
  </headerFooter>
  <rowBreaks count="2" manualBreakCount="2">
    <brk id="87" max="10" man="1"/>
    <brk id="114" max="10" man="1"/>
  </rowBreaks>
  <colBreaks count="1" manualBreakCount="1">
    <brk id="11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8</vt:i4>
      </vt:variant>
    </vt:vector>
  </HeadingPairs>
  <TitlesOfParts>
    <vt:vector size="15" baseType="lpstr">
      <vt:lpstr>Planilha Orçamentária</vt:lpstr>
      <vt:lpstr>Memória de Cálculo</vt:lpstr>
      <vt:lpstr>BDI Geral</vt:lpstr>
      <vt:lpstr>BDI Diferenciado</vt:lpstr>
      <vt:lpstr>Composições Unitárias</vt:lpstr>
      <vt:lpstr>Cronograma F.F.</vt:lpstr>
      <vt:lpstr>Curva ABC</vt:lpstr>
      <vt:lpstr>'Composições Unitárias'!Area_de_impressao</vt:lpstr>
      <vt:lpstr>'Cronograma F.F.'!Area_de_impressao</vt:lpstr>
      <vt:lpstr>'Curva ABC'!Area_de_impressao</vt:lpstr>
      <vt:lpstr>'Memória de Cálculo'!Area_de_impressao</vt:lpstr>
      <vt:lpstr>'Planilha Orçamentária'!Area_de_impressao</vt:lpstr>
      <vt:lpstr>'Curva ABC'!Titulos_de_impressao</vt:lpstr>
      <vt:lpstr>'Memória de Cálculo'!Titulos_de_impressao</vt:lpstr>
      <vt:lpstr>'Planilha Orçamentária'!Titulos_de_impressao</vt:lpstr>
    </vt:vector>
  </TitlesOfParts>
  <Company>PNUD/BRA/00/027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willamy.dias</dc:creator>
  <cp:lastModifiedBy>Natan Cruz</cp:lastModifiedBy>
  <cp:lastPrinted>2024-09-03T14:13:28Z</cp:lastPrinted>
  <dcterms:created xsi:type="dcterms:W3CDTF">2005-05-06T14:48:20Z</dcterms:created>
  <dcterms:modified xsi:type="dcterms:W3CDTF">2024-09-03T14:13:30Z</dcterms:modified>
</cp:coreProperties>
</file>